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im\Documents\Orchid Cove\Board matters\Budgets\2020\"/>
    </mc:Choice>
  </mc:AlternateContent>
  <xr:revisionPtr revIDLastSave="0" documentId="8_{2CABB320-E5B5-4F5E-A832-E5DB54BBB87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ummary" sheetId="1" r:id="rId1"/>
    <sheet name="Schedule A" sheetId="2" r:id="rId2"/>
    <sheet name="Reserves" sheetId="3" r:id="rId3"/>
    <sheet name="WORKSHEET" sheetId="5" r:id="rId4"/>
  </sheets>
  <definedNames>
    <definedName name="_1SCH_A_NO_RES">Summary!$A$1:$E$36</definedName>
    <definedName name="_2SCHEDULE_A">'Schedule A'!$A$1:$F$40</definedName>
    <definedName name="_3SCHEDULE_A_WS">'Schedule A'!$A$1:$F$42</definedName>
    <definedName name="_4SUMMARY_WS">Summary!$A$1:$E$37</definedName>
    <definedName name="CYEX">'Schedule A'!$E$40</definedName>
    <definedName name="DATE">Summary!#REF!</definedName>
    <definedName name="EEXP">'Schedule A'!$C$40</definedName>
    <definedName name="FREQ">Summary!$D$35</definedName>
    <definedName name="INFL">Reserves!#REF!</definedName>
    <definedName name="INFPCT">Reserves!$V$10</definedName>
    <definedName name="M_NAME">'Schedule A'!#REF!</definedName>
    <definedName name="M_NUM">'Schedule A'!#REF!</definedName>
    <definedName name="NUN">Summary!$D$34</definedName>
    <definedName name="PF">Reserves!$L$9</definedName>
    <definedName name="_xlnm.Print_Area" localSheetId="2">Reserves!$A$1:$M$33</definedName>
    <definedName name="_xlnm.Print_Area" localSheetId="1">'Schedule A'!$A$1:$F$42</definedName>
    <definedName name="_xlnm.Print_Area" localSheetId="0">Summary!$A$1:$F$35</definedName>
    <definedName name="_xlnm.Print_Area" localSheetId="3">WORKSHEET!$A$1:$I$54</definedName>
    <definedName name="_xlnm.Print_Area">Reserves!$A$1:$Q$22</definedName>
    <definedName name="PYEX">'Schedule A'!$D$40</definedName>
    <definedName name="RESERVES">Reserves!$A$1:$M$34</definedName>
    <definedName name="RESERVES_M">Reserves!$A$1:$Q$22</definedName>
    <definedName name="SUMMARY">Summary!$A$1:$E$37</definedName>
    <definedName name="YTDMN">WORKSHEET!$C$9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6" i="3" l="1"/>
  <c r="H21" i="5"/>
  <c r="H19" i="5"/>
  <c r="H16" i="5"/>
  <c r="H18" i="5"/>
  <c r="C31" i="5" l="1"/>
  <c r="C32" i="5"/>
  <c r="E19" i="5"/>
  <c r="D19" i="5"/>
  <c r="H23" i="5"/>
  <c r="E20" i="3"/>
  <c r="H36" i="5"/>
  <c r="H32" i="5"/>
  <c r="H26" i="5"/>
  <c r="H22" i="5"/>
  <c r="H20" i="5"/>
  <c r="H17" i="5"/>
  <c r="B15" i="2"/>
  <c r="H15" i="5"/>
  <c r="G22" i="3" l="1"/>
  <c r="G19" i="3"/>
  <c r="G18" i="3"/>
  <c r="G17" i="3"/>
  <c r="G16" i="3"/>
  <c r="G15" i="3"/>
  <c r="C44" i="5" l="1"/>
  <c r="I44" i="5"/>
  <c r="D33" i="5" l="1"/>
  <c r="E33" i="5" s="1"/>
  <c r="D32" i="5"/>
  <c r="E32" i="5" s="1"/>
  <c r="C29" i="2" s="1"/>
  <c r="G32" i="5" l="1"/>
  <c r="E29" i="2" s="1"/>
  <c r="C8" i="2" l="1"/>
  <c r="D10" i="1"/>
  <c r="E8" i="2" s="1"/>
  <c r="K27" i="5" l="1"/>
  <c r="D40" i="5" l="1"/>
  <c r="E40" i="5" s="1"/>
  <c r="D39" i="5"/>
  <c r="E39" i="5" s="1"/>
  <c r="D38" i="5"/>
  <c r="E38" i="5" s="1"/>
  <c r="D37" i="5"/>
  <c r="E37" i="5" s="1"/>
  <c r="D36" i="5"/>
  <c r="E36" i="5" s="1"/>
  <c r="T20" i="3"/>
  <c r="S20" i="3" s="1"/>
  <c r="R20" i="3" s="1"/>
  <c r="T19" i="3"/>
  <c r="S19" i="3" s="1"/>
  <c r="R19" i="3" s="1"/>
  <c r="E19" i="3" s="1"/>
  <c r="T18" i="3"/>
  <c r="S18" i="3" s="1"/>
  <c r="R18" i="3" s="1"/>
  <c r="E18" i="3" s="1"/>
  <c r="T17" i="3"/>
  <c r="S17" i="3" s="1"/>
  <c r="R17" i="3" s="1"/>
  <c r="E17" i="3" s="1"/>
  <c r="T16" i="3"/>
  <c r="S16" i="3" s="1"/>
  <c r="R16" i="3" s="1"/>
  <c r="E16" i="3" s="1"/>
  <c r="T15" i="3"/>
  <c r="U21" i="3"/>
  <c r="C16" i="1"/>
  <c r="C22" i="1" s="1"/>
  <c r="G39" i="5" l="1"/>
  <c r="C36" i="2"/>
  <c r="E36" i="2"/>
  <c r="C37" i="2"/>
  <c r="G36" i="5"/>
  <c r="E33" i="2" s="1"/>
  <c r="C33" i="2"/>
  <c r="G37" i="5"/>
  <c r="C34" i="2"/>
  <c r="E34" i="2"/>
  <c r="C35" i="2"/>
  <c r="T21" i="3"/>
  <c r="S15" i="3"/>
  <c r="R15" i="3" s="1"/>
  <c r="G38" i="5"/>
  <c r="E35" i="2" s="1"/>
  <c r="G40" i="5"/>
  <c r="E37" i="2" s="1"/>
  <c r="I21" i="3"/>
  <c r="G21" i="3"/>
  <c r="J17" i="3"/>
  <c r="K17" i="3" s="1"/>
  <c r="L17" i="3" s="1"/>
  <c r="G13" i="3"/>
  <c r="E15" i="3" l="1"/>
  <c r="R21" i="3"/>
  <c r="S21" i="3"/>
  <c r="J19" i="3"/>
  <c r="K19" i="3" s="1"/>
  <c r="L19" i="3" s="1"/>
  <c r="J16" i="3"/>
  <c r="J15" i="3"/>
  <c r="K16" i="3" l="1"/>
  <c r="L16" i="3" s="1"/>
  <c r="J18" i="3"/>
  <c r="K18" i="3" s="1"/>
  <c r="L18" i="3" s="1"/>
  <c r="J20" i="3"/>
  <c r="J22" i="3"/>
  <c r="I13" i="5"/>
  <c r="E13" i="5" s="1"/>
  <c r="E10" i="1"/>
  <c r="I13" i="3"/>
  <c r="F21" i="3"/>
  <c r="F23" i="3" s="1"/>
  <c r="J13" i="3"/>
  <c r="E17" i="1"/>
  <c r="E30" i="1" s="1"/>
  <c r="A6" i="2"/>
  <c r="A5" i="2"/>
  <c r="A3" i="2"/>
  <c r="A5" i="3"/>
  <c r="A4" i="3"/>
  <c r="A1" i="3"/>
  <c r="A3" i="3"/>
  <c r="E9" i="2"/>
  <c r="D40" i="2"/>
  <c r="A4" i="2"/>
  <c r="A1" i="2"/>
  <c r="D9" i="1"/>
  <c r="D8" i="1"/>
  <c r="B62" i="1"/>
  <c r="A1" i="5"/>
  <c r="H13" i="5" s="1"/>
  <c r="D15" i="5"/>
  <c r="D16" i="5"/>
  <c r="E16" i="5" s="1"/>
  <c r="D17" i="5"/>
  <c r="E17" i="5" s="1"/>
  <c r="D18" i="5"/>
  <c r="E18" i="5" s="1"/>
  <c r="G19" i="5"/>
  <c r="D20" i="5"/>
  <c r="E20" i="5" s="1"/>
  <c r="D21" i="5"/>
  <c r="E21" i="5" s="1"/>
  <c r="D22" i="5"/>
  <c r="E22" i="5" s="1"/>
  <c r="D23" i="5"/>
  <c r="E23" i="5" s="1"/>
  <c r="D24" i="5"/>
  <c r="E24" i="5" s="1"/>
  <c r="D25" i="5"/>
  <c r="E25" i="5" s="1"/>
  <c r="D26" i="5"/>
  <c r="E26" i="5" s="1"/>
  <c r="D27" i="5"/>
  <c r="E27" i="5" s="1"/>
  <c r="D28" i="5"/>
  <c r="E28" i="5" s="1"/>
  <c r="D29" i="5"/>
  <c r="E29" i="5" s="1"/>
  <c r="D30" i="5"/>
  <c r="E30" i="5" s="1"/>
  <c r="D31" i="5"/>
  <c r="E31" i="5" s="1"/>
  <c r="D34" i="5"/>
  <c r="E34" i="5" s="1"/>
  <c r="D35" i="5"/>
  <c r="E35" i="5" s="1"/>
  <c r="D41" i="5"/>
  <c r="E41" i="5" s="1"/>
  <c r="G31" i="5" l="1"/>
  <c r="C28" i="2"/>
  <c r="E28" i="2"/>
  <c r="G28" i="5"/>
  <c r="H28" i="5"/>
  <c r="E25" i="2" s="1"/>
  <c r="C25" i="2"/>
  <c r="C22" i="2"/>
  <c r="G30" i="5"/>
  <c r="E27" i="2"/>
  <c r="C27" i="2"/>
  <c r="H41" i="5"/>
  <c r="E38" i="2" s="1"/>
  <c r="C38" i="2"/>
  <c r="C20" i="2"/>
  <c r="G35" i="5"/>
  <c r="E32" i="2"/>
  <c r="C32" i="2"/>
  <c r="G24" i="5"/>
  <c r="C21" i="2"/>
  <c r="E21" i="2"/>
  <c r="C26" i="2"/>
  <c r="C31" i="2"/>
  <c r="E30" i="2"/>
  <c r="C30" i="2"/>
  <c r="C24" i="2"/>
  <c r="G26" i="5"/>
  <c r="E23" i="2" s="1"/>
  <c r="C23" i="2"/>
  <c r="G22" i="5"/>
  <c r="C19" i="2"/>
  <c r="E19" i="2"/>
  <c r="C18" i="2"/>
  <c r="G20" i="5"/>
  <c r="C17" i="2"/>
  <c r="E17" i="2"/>
  <c r="C16" i="2"/>
  <c r="G18" i="5"/>
  <c r="C15" i="2"/>
  <c r="C14" i="2"/>
  <c r="G16" i="5"/>
  <c r="C13" i="2"/>
  <c r="E13" i="2"/>
  <c r="E15" i="5"/>
  <c r="D44" i="5"/>
  <c r="E16" i="2"/>
  <c r="E22" i="2"/>
  <c r="G21" i="5"/>
  <c r="E18" i="2" s="1"/>
  <c r="G27" i="5"/>
  <c r="H27" i="5" s="1"/>
  <c r="E24" i="2" s="1"/>
  <c r="G17" i="5"/>
  <c r="E14" i="2" s="1"/>
  <c r="G41" i="5"/>
  <c r="G29" i="5"/>
  <c r="E26" i="2" s="1"/>
  <c r="G23" i="5"/>
  <c r="E20" i="2" s="1"/>
  <c r="G34" i="5"/>
  <c r="E31" i="2" s="1"/>
  <c r="P21" i="3"/>
  <c r="N21" i="3"/>
  <c r="E21" i="3"/>
  <c r="K20" i="3"/>
  <c r="L20" i="3" s="1"/>
  <c r="E23" i="1"/>
  <c r="K15" i="3"/>
  <c r="L15" i="3" s="1"/>
  <c r="E15" i="2" l="1"/>
  <c r="H44" i="5"/>
  <c r="C12" i="2"/>
  <c r="C40" i="2" s="1"/>
  <c r="G15" i="5"/>
  <c r="E12" i="2" s="1"/>
  <c r="E44" i="5"/>
  <c r="G44" i="5" s="1"/>
  <c r="C31" i="1"/>
  <c r="J21" i="3"/>
  <c r="J23" i="3" s="1"/>
  <c r="K21" i="3"/>
  <c r="L21" i="3"/>
  <c r="D17" i="1" s="1"/>
  <c r="D30" i="1" s="1"/>
  <c r="G23" i="3"/>
  <c r="C18" i="1"/>
  <c r="C23" i="1"/>
  <c r="C24" i="1" s="1"/>
  <c r="E40" i="2" l="1"/>
  <c r="D23" i="1"/>
  <c r="E22" i="1" l="1"/>
  <c r="D22" i="1"/>
  <c r="D13" i="1" s="1"/>
  <c r="D16" i="1" l="1"/>
  <c r="D18" i="1" s="1"/>
  <c r="D29" i="1"/>
  <c r="D31" i="1" s="1"/>
  <c r="E13" i="1"/>
  <c r="E24" i="1"/>
  <c r="D24" i="1"/>
  <c r="E29" i="1" l="1"/>
  <c r="E16" i="1"/>
  <c r="E18" i="1" s="1"/>
  <c r="E31" i="1" l="1"/>
  <c r="E4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tc={00290975-EDA0-4BE6-A4B7-B245A5F6F45B}</author>
    <author>tc={B8EBDDE7-8E88-4EE7-9748-A02005FB062C}</author>
  </authors>
  <commentList>
    <comment ref="I16" authorId="0" shapeId="0" xr:uid="{00290975-EDA0-4BE6-A4B7-B245A5F6F45B}">
      <text>
        <t>[Threaded comment]
Your version of Excel allows you to read this threaded comment; however, any edits to it will get removed if the file is opened in a newer version of Excel. Learn more: https://go.microsoft.com/fwlink/?linkid=870924
Comment:
    double check invoices from Wezel to make sure they hit the right category</t>
      </text>
    </comment>
    <comment ref="H32" authorId="1" shapeId="0" xr:uid="{B8EBDDE7-8E88-4EE7-9748-A02005FB062C}">
      <text>
        <t>[Threaded comment]
Your version of Excel allows you to read this threaded comment; however, any edits to it will get removed if the file is opened in a newer version of Excel. Learn more: https://go.microsoft.com/fwlink/?linkid=870924
Comment:
    YTD seems skewed, we spent more than $1,600 in roof repairs. Need to double check invoices</t>
      </text>
    </comment>
  </commentList>
</comments>
</file>

<file path=xl/sharedStrings.xml><?xml version="1.0" encoding="utf-8"?>
<sst xmlns="http://schemas.openxmlformats.org/spreadsheetml/2006/main" count="248" uniqueCount="172">
  <si>
    <t>REVENUES</t>
  </si>
  <si>
    <t>EXPENSES AND RESERVES</t>
  </si>
  <si>
    <t>NUMBER OF UNITS</t>
  </si>
  <si>
    <t>MAINTENANCE</t>
  </si>
  <si>
    <t>APPLICATION FEES</t>
  </si>
  <si>
    <t>RESERVES</t>
  </si>
  <si>
    <t>CURRENT EXPENSES - SCHEDULE A</t>
  </si>
  <si>
    <t>ESTIMATED</t>
  </si>
  <si>
    <t>APPROVED</t>
  </si>
  <si>
    <t>BUDGET</t>
  </si>
  <si>
    <t>SUMMARY</t>
  </si>
  <si>
    <t>CURRENT EXPENSES</t>
  </si>
  <si>
    <t>INSURANCE</t>
  </si>
  <si>
    <t>SCHEDULE A</t>
  </si>
  <si>
    <t>ACCT#</t>
  </si>
  <si>
    <t>Note 1:</t>
  </si>
  <si>
    <t>Note 2:</t>
  </si>
  <si>
    <t>Note 3:</t>
  </si>
  <si>
    <t>TOTAL</t>
  </si>
  <si>
    <t>These reserves are computed using the straight line method.</t>
  </si>
  <si>
    <t>The Annual Reserve Required (9) has been rounded to a whole number when divided by the number of units divided by twelve.</t>
  </si>
  <si>
    <t>1</t>
  </si>
  <si>
    <t>LIFE</t>
  </si>
  <si>
    <t>EXPECTANCY</t>
  </si>
  <si>
    <t>2</t>
  </si>
  <si>
    <t>REMAINING</t>
  </si>
  <si>
    <t>3</t>
  </si>
  <si>
    <t>REPLACEMENT</t>
  </si>
  <si>
    <t>COST</t>
  </si>
  <si>
    <t>4</t>
  </si>
  <si>
    <t>BEGINNING</t>
  </si>
  <si>
    <t>BALANCE</t>
  </si>
  <si>
    <t>5</t>
  </si>
  <si>
    <t>ASSESSMENTS</t>
  </si>
  <si>
    <t>COLLECTED</t>
  </si>
  <si>
    <t>6</t>
  </si>
  <si>
    <t>EXPENDITURES</t>
  </si>
  <si>
    <t>7</t>
  </si>
  <si>
    <t>8</t>
  </si>
  <si>
    <t>ADDITIONAL</t>
  </si>
  <si>
    <t>RESERVE</t>
  </si>
  <si>
    <t>REQUIREMENT</t>
  </si>
  <si>
    <t xml:space="preserve">SCHEDULE B </t>
  </si>
  <si>
    <t>PERCENT</t>
  </si>
  <si>
    <t>FUNDING</t>
  </si>
  <si>
    <t>9</t>
  </si>
  <si>
    <t>ANNUAL</t>
  </si>
  <si>
    <t>REQUIRED</t>
  </si>
  <si>
    <t xml:space="preserve"> </t>
  </si>
  <si>
    <t>FULL FUNDED</t>
  </si>
  <si>
    <t>AMOUNT</t>
  </si>
  <si>
    <t>FUNDED</t>
  </si>
  <si>
    <t>12</t>
  </si>
  <si>
    <t xml:space="preserve">UNDER </t>
  </si>
  <si>
    <t xml:space="preserve">FUNDED </t>
  </si>
  <si>
    <t xml:space="preserve">AMOUNT </t>
  </si>
  <si>
    <t>3.  ENTER TOTAL # OF YTD MONTHS IN THE INDICATED BOX</t>
  </si>
  <si>
    <t>TOTAL # OF YTD MONTHS</t>
  </si>
  <si>
    <t>INPUT</t>
  </si>
  <si>
    <t>FORMULA</t>
  </si>
  <si>
    <t>DESCRIPTION</t>
  </si>
  <si>
    <t>YTD</t>
  </si>
  <si>
    <t>MONTHLY</t>
  </si>
  <si>
    <t>PROJECTED</t>
  </si>
  <si>
    <t>%</t>
  </si>
  <si>
    <t>$ AMT</t>
  </si>
  <si>
    <t>EXPENSE</t>
  </si>
  <si>
    <t>AVG</t>
  </si>
  <si>
    <t>INCREASE</t>
  </si>
  <si>
    <t>TOTAL EXPENSES</t>
  </si>
  <si>
    <t>ENTER</t>
  </si>
  <si>
    <t>|</t>
  </si>
  <si>
    <t>PLEASE NOTE:</t>
  </si>
  <si>
    <t>DO NOT COPY AND PASTE</t>
  </si>
  <si>
    <t>MANUALLY ENTER THESE FIGURES ON</t>
  </si>
  <si>
    <t>&gt;&gt;&gt;&gt;&gt;&gt;&gt;&gt;</t>
  </si>
  <si>
    <t xml:space="preserve">WORKSHEET </t>
  </si>
  <si>
    <t>EST EX</t>
  </si>
  <si>
    <t xml:space="preserve">GL </t>
  </si>
  <si>
    <t>ACCT #</t>
  </si>
  <si>
    <t xml:space="preserve">Instructions &amp; Reserve Revisions </t>
  </si>
  <si>
    <t xml:space="preserve">   SCHEDULE A. </t>
  </si>
  <si>
    <t>2. Review Figures and confirm accuracy (based on latest financial statement)</t>
  </si>
  <si>
    <t>1.  PRINT A CURRENT GL (EXPENSES ONLY)   OR USE YTD EXPENSE COLUMN ON THE FINANCIAL (INCOME/EXPENSE)</t>
  </si>
  <si>
    <t xml:space="preserve">2.  REVIEW GL ACCOUNTS - CORRECT CODING ERRORS </t>
  </si>
  <si>
    <t xml:space="preserve">4.  ENTER TOTAL YEAR TO DATE EXPENSE IN COLUMN 3 FROM GL REPORT OR FINANCIAL </t>
  </si>
  <si>
    <t>5.  ENTER THE ESTIMATED PERCENT OF INCREASE IN COLUMN 6 (NO INCREASE ENTER 0)</t>
  </si>
  <si>
    <t>1.  Rsvs:    Remaining Yrs;  Replacement cost; Beg Bal; Allocation have been revised</t>
  </si>
  <si>
    <t>BECAUSE THESE FIGURES ARE FORMULA</t>
  </si>
  <si>
    <t>3.  Note any additional expense to be incurred not and circle figure.</t>
  </si>
  <si>
    <t>DRIVEN, THEY ARE NOT WHOLE NUMBERS</t>
  </si>
  <si>
    <t>4.  Circle  and changes you make to replacement cost years ect.</t>
  </si>
  <si>
    <t>THE COPY AND PASTE FUNCTION WILL</t>
  </si>
  <si>
    <t>5.  Print out your proposed budget and submit to accounting.  DO NOT    E-Mail or Present</t>
  </si>
  <si>
    <t>CAUSE ROUNDING ERRORS IN THE FINAL</t>
  </si>
  <si>
    <t xml:space="preserve">       to BOD until you receive  an approved copyfo the budgetfrom accounting (yellow paper).</t>
  </si>
  <si>
    <r>
      <t xml:space="preserve">TOTAL.  </t>
    </r>
    <r>
      <rPr>
        <b/>
        <sz val="10"/>
        <rFont val="Arial"/>
        <family val="2"/>
      </rPr>
      <t>ENTER MANUALLY</t>
    </r>
  </si>
  <si>
    <t>HINT</t>
  </si>
  <si>
    <t>Columns that contain information you need to copy to schedule A can be copied and pasted to the side of the form for</t>
  </si>
  <si>
    <t xml:space="preserve">easy reference and then deleted after information has been manually entered.  </t>
  </si>
  <si>
    <t>INFLATION</t>
  </si>
  <si>
    <t>SUBTOTAL</t>
  </si>
  <si>
    <t>MAINTENANCE ASSESSMENT</t>
  </si>
  <si>
    <t>RESERVE ASSESSMENT</t>
  </si>
  <si>
    <t>PAYMENTS PER YEAR</t>
  </si>
  <si>
    <t>5A</t>
  </si>
  <si>
    <t>Estimated Life Expectancy, Estimated Remaining Life, and Estimated Replacement Cost are based on information secured from contractors and on information</t>
  </si>
  <si>
    <t>obtained from experience gained from similar replacements, these figures may be adjusted each year using current available data.  The accuracy of and items</t>
  </si>
  <si>
    <t>required should be supported by an independent Reserve Study.</t>
  </si>
  <si>
    <t>Reserve</t>
  </si>
  <si>
    <t>DESIGNATED RESERVES</t>
  </si>
  <si>
    <t>MANAGEMENT FEES</t>
  </si>
  <si>
    <t>PEST CONTROL</t>
  </si>
  <si>
    <t>POOL</t>
  </si>
  <si>
    <t xml:space="preserve">WAIVED </t>
  </si>
  <si>
    <t>UNIT ASSESSMENT - QUARTERLY</t>
  </si>
  <si>
    <t>TOTAL ASSESSMENT</t>
  </si>
  <si>
    <t>BAD DEBT</t>
  </si>
  <si>
    <t>PROPOSED</t>
  </si>
  <si>
    <t>GENERAL MAINTENANCE/REPAIRS</t>
  </si>
  <si>
    <t>UNALLOCATED RESERVE INTEREST</t>
  </si>
  <si>
    <t>TRANSFERS</t>
  </si>
  <si>
    <t>BETWEEN</t>
  </si>
  <si>
    <t>FUNDS</t>
  </si>
  <si>
    <t>ACCOUNTING FEES (TAX PREP)</t>
  </si>
  <si>
    <t>2016 ESTIMATED EXPENSES AND APPROVED BUDGET</t>
  </si>
  <si>
    <t>TREE TRIMMING</t>
  </si>
  <si>
    <t>IRRIGATION MAINTENANCE</t>
  </si>
  <si>
    <t>ORCHID COVE CONDOMINIUM ASSN, INC.</t>
  </si>
  <si>
    <t xml:space="preserve">ROOF </t>
  </si>
  <si>
    <t>PAINTING</t>
  </si>
  <si>
    <t>PAVING</t>
  </si>
  <si>
    <t>GENERAL RSV</t>
  </si>
  <si>
    <t>MULCH</t>
  </si>
  <si>
    <t>PRESSURE CLEANING</t>
  </si>
  <si>
    <t>BACKFLOWS/TEST &amp; REPAIR</t>
  </si>
  <si>
    <t>POOL SUPPLIES &amp; REPAIR</t>
  </si>
  <si>
    <t>POOL ELECTRIC</t>
  </si>
  <si>
    <t>POOL FUEL</t>
  </si>
  <si>
    <t>WATER / SEWER</t>
  </si>
  <si>
    <t xml:space="preserve">ELECTRIC </t>
  </si>
  <si>
    <t>LEGAL FEES/PROFESSIONAL</t>
  </si>
  <si>
    <t>DIVISION FEES</t>
  </si>
  <si>
    <t>BANK  FEES &amp; COUPON BOOKS</t>
  </si>
  <si>
    <t>PUMPS</t>
  </si>
  <si>
    <t xml:space="preserve">2018 - ROUNDED TO $164 TOTALS $698 </t>
  </si>
  <si>
    <t>this is for the driveways, sidewalks, building exteriors and windows.</t>
  </si>
  <si>
    <t>contract @$265x12</t>
  </si>
  <si>
    <t>LANDSCAPING MAINTENANCE CONTRACT</t>
  </si>
  <si>
    <t>LANDSCAPING / PLANTS - TREES - SOD</t>
  </si>
  <si>
    <t>POOL MAINTENANCE CONTRACT</t>
  </si>
  <si>
    <t>ROOF REPAIRS</t>
  </si>
  <si>
    <t>JANITORIAL SERVICES CONTRACT</t>
  </si>
  <si>
    <t>LICENSES &amp; PERMITS ( POOLS)</t>
  </si>
  <si>
    <t>OFFICE EXPENSES (POSTAGE - PRINTING - STORAGE)</t>
  </si>
  <si>
    <t>PROPOSED BUDGET FOR THE PERIOD</t>
  </si>
  <si>
    <t>JANUARY 1, 2020 to DECEMBER 31, 2020</t>
  </si>
  <si>
    <t xml:space="preserve">   does the fire sprinkler sytem get coded the same as the back flow? Shouldn't it be 7140?</t>
  </si>
  <si>
    <t>1994+2700</t>
  </si>
  <si>
    <t>includes pool electric</t>
  </si>
  <si>
    <t>$300*6=1800</t>
  </si>
  <si>
    <t>moved to 7010</t>
  </si>
  <si>
    <t>contract at $215*12</t>
  </si>
  <si>
    <t>maybe this should be a special assessment to do the documents</t>
  </si>
  <si>
    <t>This is 48 units*$7 = $336</t>
  </si>
  <si>
    <t>This is $66.25 for the annual report + pool permit of $125 = 191.25</t>
  </si>
  <si>
    <t>DBPR fees for condo are $4 per unit*48 = 192</t>
  </si>
  <si>
    <t>EXPENSES</t>
  </si>
  <si>
    <t xml:space="preserve">2% increase (need to check this against email) </t>
  </si>
  <si>
    <t>3% increase</t>
  </si>
  <si>
    <t>FIRE SPRINKLER ALARM / EXTINGUISHERS</t>
  </si>
  <si>
    <t>OTHER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</si>
</sst>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(* #,##0_);_(* \(#,##0\);_(* &quot;-&quot;_);_(@_)"/>
    <numFmt numFmtId="43" formatCode="_(* #,##0.00_);_(* \(#,##0.00\);_(* &quot;-&quot;??_);_(@_)"/>
    <numFmt numFmtId="164" formatCode="[$$-409]#,##0"/>
    <numFmt numFmtId="165" formatCode="[$$-409]#,##0.00"/>
    <numFmt numFmtId="166" formatCode="[$-409]mmmm\ d\,\ yyyy;@"/>
    <numFmt numFmtId="167" formatCode="&quot;$&quot;#,##0"/>
    <numFmt numFmtId="168" formatCode="[$-409]d\-mmm\-yy;@"/>
    <numFmt numFmtId="169" formatCode="0.000000"/>
  </numFmts>
  <fonts count="33">
    <font>
      <sz val="12"/>
      <name val="Arial"/>
    </font>
    <font>
      <sz val="12"/>
      <name val="Arial"/>
      <family val="2"/>
    </font>
    <font>
      <sz val="12"/>
      <name val="Century Gothic"/>
      <family val="2"/>
    </font>
    <font>
      <sz val="12"/>
      <name val="Century Gothic"/>
      <family val="2"/>
    </font>
    <font>
      <sz val="16"/>
      <name val="Century Gothic"/>
      <family val="2"/>
    </font>
    <font>
      <sz val="10"/>
      <name val="Century Gothic"/>
      <family val="2"/>
    </font>
    <font>
      <i/>
      <sz val="12"/>
      <name val="Century Gothic"/>
      <family val="2"/>
    </font>
    <font>
      <i/>
      <sz val="10"/>
      <name val="Century Gothic"/>
      <family val="2"/>
    </font>
    <font>
      <b/>
      <sz val="12"/>
      <name val="Century Gothic"/>
      <family val="2"/>
    </font>
    <font>
      <sz val="18"/>
      <name val="Century Gothic"/>
      <family val="2"/>
    </font>
    <font>
      <sz val="8"/>
      <name val="Century Gothic"/>
      <family val="2"/>
    </font>
    <font>
      <b/>
      <sz val="10"/>
      <name val="Century Gothic"/>
      <family val="2"/>
    </font>
    <font>
      <b/>
      <sz val="12"/>
      <name val="Arial"/>
      <family val="2"/>
    </font>
    <font>
      <b/>
      <sz val="11"/>
      <name val="Century Gothic"/>
      <family val="2"/>
    </font>
    <font>
      <sz val="9"/>
      <name val="Century Gothic"/>
      <family val="2"/>
    </font>
    <font>
      <sz val="12"/>
      <name val="P-HLV"/>
    </font>
    <font>
      <b/>
      <sz val="12"/>
      <color indexed="10"/>
      <name val="Arial"/>
      <family val="2"/>
    </font>
    <font>
      <b/>
      <sz val="12"/>
      <color indexed="8"/>
      <name val="Century Gothic"/>
      <family val="2"/>
    </font>
    <font>
      <b/>
      <sz val="12"/>
      <color indexed="8"/>
      <name val="Arial"/>
      <family val="2"/>
    </font>
    <font>
      <b/>
      <sz val="11"/>
      <name val="Arial"/>
      <family val="2"/>
    </font>
    <font>
      <b/>
      <sz val="9"/>
      <name val="Century Gothic"/>
      <family val="2"/>
    </font>
    <font>
      <sz val="9"/>
      <name val="Arial"/>
      <family val="2"/>
    </font>
    <font>
      <b/>
      <sz val="11"/>
      <color indexed="8"/>
      <name val="Century Gothic"/>
      <family val="2"/>
    </font>
    <font>
      <b/>
      <sz val="11"/>
      <color indexed="8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2"/>
      <color indexed="8"/>
      <name val="Century Gothic"/>
      <family val="2"/>
    </font>
    <font>
      <sz val="20"/>
      <color indexed="8"/>
      <name val="Arial"/>
      <family val="2"/>
    </font>
    <font>
      <sz val="11"/>
      <name val="Century Gothic"/>
      <family val="2"/>
    </font>
    <font>
      <b/>
      <sz val="14"/>
      <name val="Century Gothic"/>
      <family val="2"/>
    </font>
    <font>
      <b/>
      <i/>
      <sz val="12"/>
      <name val="Century Gothic"/>
      <family val="2"/>
    </font>
    <font>
      <b/>
      <sz val="12"/>
      <color rgb="FF7030A0"/>
      <name val="Arial"/>
      <family val="2"/>
    </font>
    <font>
      <sz val="12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</fills>
  <borders count="62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double">
        <color indexed="8"/>
      </bottom>
      <diagonal/>
    </border>
    <border>
      <left/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medium">
        <color indexed="8"/>
      </top>
      <bottom style="double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 style="double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64">
    <xf numFmtId="0" fontId="0" fillId="0" borderId="0" xfId="0"/>
    <xf numFmtId="0" fontId="1" fillId="0" borderId="0" xfId="0" applyNumberFormat="1" applyFont="1" applyAlignment="1"/>
    <xf numFmtId="0" fontId="2" fillId="0" borderId="0" xfId="0" applyNumberFormat="1" applyFont="1" applyAlignment="1"/>
    <xf numFmtId="0" fontId="2" fillId="0" borderId="0" xfId="0" applyNumberFormat="1" applyFont="1" applyAlignment="1">
      <alignment horizontal="right"/>
    </xf>
    <xf numFmtId="0" fontId="3" fillId="0" borderId="0" xfId="0" applyNumberFormat="1" applyFont="1" applyAlignment="1"/>
    <xf numFmtId="0" fontId="2" fillId="0" borderId="0" xfId="0" applyNumberFormat="1" applyFont="1" applyAlignment="1">
      <alignment horizontal="centerContinuous"/>
    </xf>
    <xf numFmtId="0" fontId="4" fillId="0" borderId="0" xfId="0" applyNumberFormat="1" applyFont="1" applyAlignment="1">
      <alignment horizontal="centerContinuous"/>
    </xf>
    <xf numFmtId="0" fontId="2" fillId="0" borderId="1" xfId="0" applyNumberFormat="1" applyFont="1" applyBorder="1" applyAlignment="1"/>
    <xf numFmtId="0" fontId="2" fillId="1" borderId="2" xfId="0" applyNumberFormat="1" applyFont="1" applyFill="1" applyBorder="1" applyAlignment="1"/>
    <xf numFmtId="0" fontId="2" fillId="1" borderId="3" xfId="0" applyNumberFormat="1" applyFont="1" applyFill="1" applyBorder="1" applyAlignment="1"/>
    <xf numFmtId="0" fontId="2" fillId="1" borderId="1" xfId="0" applyNumberFormat="1" applyFont="1" applyFill="1" applyBorder="1" applyAlignment="1"/>
    <xf numFmtId="0" fontId="2" fillId="1" borderId="0" xfId="0" applyNumberFormat="1" applyFont="1" applyFill="1" applyAlignment="1"/>
    <xf numFmtId="0" fontId="2" fillId="0" borderId="3" xfId="0" applyNumberFormat="1" applyFont="1" applyBorder="1" applyAlignment="1"/>
    <xf numFmtId="3" fontId="2" fillId="0" borderId="2" xfId="0" applyNumberFormat="1" applyFont="1" applyBorder="1" applyAlignment="1"/>
    <xf numFmtId="0" fontId="7" fillId="0" borderId="0" xfId="0" applyNumberFormat="1" applyFont="1" applyAlignment="1"/>
    <xf numFmtId="0" fontId="5" fillId="0" borderId="0" xfId="0" applyNumberFormat="1" applyFont="1" applyAlignment="1"/>
    <xf numFmtId="0" fontId="8" fillId="1" borderId="3" xfId="0" applyNumberFormat="1" applyFont="1" applyFill="1" applyBorder="1" applyAlignment="1"/>
    <xf numFmtId="4" fontId="2" fillId="0" borderId="0" xfId="0" applyNumberFormat="1" applyFont="1" applyAlignment="1"/>
    <xf numFmtId="3" fontId="2" fillId="0" borderId="0" xfId="0" applyNumberFormat="1" applyFont="1" applyAlignment="1"/>
    <xf numFmtId="0" fontId="2" fillId="0" borderId="2" xfId="0" applyNumberFormat="1" applyFont="1" applyBorder="1" applyAlignment="1"/>
    <xf numFmtId="164" fontId="3" fillId="0" borderId="0" xfId="0" applyNumberFormat="1" applyFont="1" applyAlignment="1"/>
    <xf numFmtId="0" fontId="9" fillId="0" borderId="0" xfId="0" applyNumberFormat="1" applyFont="1" applyAlignment="1">
      <alignment horizontal="centerContinuous"/>
    </xf>
    <xf numFmtId="3" fontId="2" fillId="0" borderId="0" xfId="0" applyNumberFormat="1" applyFont="1" applyAlignment="1">
      <alignment horizontal="centerContinuous"/>
    </xf>
    <xf numFmtId="10" fontId="2" fillId="0" borderId="0" xfId="0" applyNumberFormat="1" applyFont="1" applyAlignment="1">
      <alignment horizontal="right"/>
    </xf>
    <xf numFmtId="10" fontId="2" fillId="0" borderId="0" xfId="0" applyNumberFormat="1" applyFont="1" applyAlignment="1">
      <alignment horizontal="centerContinuous"/>
    </xf>
    <xf numFmtId="0" fontId="2" fillId="1" borderId="2" xfId="0" applyNumberFormat="1" applyFont="1" applyFill="1" applyBorder="1" applyAlignment="1">
      <alignment horizontal="right"/>
    </xf>
    <xf numFmtId="0" fontId="2" fillId="1" borderId="3" xfId="0" applyNumberFormat="1" applyFont="1" applyFill="1" applyBorder="1" applyAlignment="1">
      <alignment horizontal="right"/>
    </xf>
    <xf numFmtId="3" fontId="2" fillId="1" borderId="2" xfId="0" applyNumberFormat="1" applyFont="1" applyFill="1" applyBorder="1" applyAlignment="1">
      <alignment horizontal="right"/>
    </xf>
    <xf numFmtId="0" fontId="10" fillId="0" borderId="2" xfId="0" applyNumberFormat="1" applyFont="1" applyBorder="1" applyAlignment="1"/>
    <xf numFmtId="0" fontId="10" fillId="0" borderId="3" xfId="0" applyNumberFormat="1" applyFont="1" applyBorder="1" applyAlignment="1"/>
    <xf numFmtId="0" fontId="10" fillId="0" borderId="2" xfId="0" applyNumberFormat="1" applyFont="1" applyBorder="1" applyAlignment="1">
      <alignment horizontal="right"/>
    </xf>
    <xf numFmtId="0" fontId="10" fillId="0" borderId="3" xfId="0" applyNumberFormat="1" applyFont="1" applyBorder="1" applyAlignment="1">
      <alignment horizontal="right"/>
    </xf>
    <xf numFmtId="0" fontId="10" fillId="0" borderId="1" xfId="0" applyNumberFormat="1" applyFont="1" applyBorder="1" applyAlignment="1"/>
    <xf numFmtId="0" fontId="10" fillId="0" borderId="0" xfId="0" applyNumberFormat="1" applyFont="1" applyAlignment="1"/>
    <xf numFmtId="0" fontId="10" fillId="0" borderId="1" xfId="0" applyNumberFormat="1" applyFont="1" applyBorder="1" applyAlignment="1">
      <alignment horizontal="right"/>
    </xf>
    <xf numFmtId="0" fontId="10" fillId="0" borderId="0" xfId="0" applyNumberFormat="1" applyFont="1" applyAlignment="1">
      <alignment horizontal="right"/>
    </xf>
    <xf numFmtId="0" fontId="11" fillId="1" borderId="2" xfId="0" applyNumberFormat="1" applyFont="1" applyFill="1" applyBorder="1" applyAlignment="1"/>
    <xf numFmtId="0" fontId="8" fillId="1" borderId="2" xfId="0" applyNumberFormat="1" applyFont="1" applyFill="1" applyBorder="1" applyAlignment="1"/>
    <xf numFmtId="0" fontId="2" fillId="0" borderId="0" xfId="0" applyNumberFormat="1" applyFont="1" applyAlignment="1">
      <alignment horizontal="fill"/>
    </xf>
    <xf numFmtId="0" fontId="5" fillId="0" borderId="2" xfId="0" applyNumberFormat="1" applyFont="1" applyBorder="1" applyAlignment="1"/>
    <xf numFmtId="3" fontId="2" fillId="0" borderId="3" xfId="0" applyNumberFormat="1" applyFont="1" applyBorder="1" applyAlignment="1"/>
    <xf numFmtId="9" fontId="2" fillId="0" borderId="3" xfId="0" applyNumberFormat="1" applyFont="1" applyBorder="1" applyAlignment="1"/>
    <xf numFmtId="164" fontId="2" fillId="0" borderId="6" xfId="0" applyNumberFormat="1" applyFont="1" applyBorder="1" applyAlignment="1"/>
    <xf numFmtId="0" fontId="2" fillId="0" borderId="0" xfId="0" applyNumberFormat="1" applyFont="1" applyBorder="1" applyAlignment="1"/>
    <xf numFmtId="164" fontId="2" fillId="0" borderId="0" xfId="0" applyNumberFormat="1" applyFont="1" applyBorder="1" applyAlignment="1"/>
    <xf numFmtId="41" fontId="2" fillId="0" borderId="0" xfId="0" applyNumberFormat="1" applyFont="1" applyAlignment="1">
      <alignment horizontal="centerContinuous"/>
    </xf>
    <xf numFmtId="1" fontId="1" fillId="0" borderId="0" xfId="0" applyNumberFormat="1" applyFont="1" applyAlignment="1">
      <alignment horizontal="center"/>
    </xf>
    <xf numFmtId="0" fontId="12" fillId="0" borderId="0" xfId="0" applyNumberFormat="1" applyFont="1" applyAlignment="1"/>
    <xf numFmtId="41" fontId="1" fillId="0" borderId="0" xfId="0" applyNumberFormat="1" applyFont="1" applyAlignment="1"/>
    <xf numFmtId="41" fontId="2" fillId="0" borderId="0" xfId="0" applyNumberFormat="1" applyFont="1" applyAlignment="1"/>
    <xf numFmtId="41" fontId="8" fillId="0" borderId="0" xfId="0" applyNumberFormat="1" applyFont="1" applyAlignment="1"/>
    <xf numFmtId="41" fontId="8" fillId="0" borderId="7" xfId="0" applyNumberFormat="1" applyFont="1" applyBorder="1" applyAlignment="1">
      <alignment horizontal="center"/>
    </xf>
    <xf numFmtId="0" fontId="12" fillId="0" borderId="7" xfId="0" applyNumberFormat="1" applyFont="1" applyBorder="1" applyAlignment="1">
      <alignment horizontal="center"/>
    </xf>
    <xf numFmtId="0" fontId="2" fillId="0" borderId="8" xfId="0" applyNumberFormat="1" applyFont="1" applyBorder="1" applyAlignment="1"/>
    <xf numFmtId="0" fontId="14" fillId="0" borderId="8" xfId="0" applyNumberFormat="1" applyFont="1" applyBorder="1" applyAlignment="1"/>
    <xf numFmtId="41" fontId="2" fillId="0" borderId="8" xfId="0" applyNumberFormat="1" applyFont="1" applyBorder="1" applyAlignment="1"/>
    <xf numFmtId="1" fontId="2" fillId="0" borderId="9" xfId="0" applyNumberFormat="1" applyFont="1" applyBorder="1" applyAlignment="1">
      <alignment horizontal="center"/>
    </xf>
    <xf numFmtId="0" fontId="5" fillId="0" borderId="8" xfId="0" applyNumberFormat="1" applyFont="1" applyBorder="1" applyAlignment="1"/>
    <xf numFmtId="41" fontId="8" fillId="2" borderId="0" xfId="0" applyNumberFormat="1" applyFont="1" applyFill="1" applyBorder="1" applyAlignment="1">
      <alignment horizontal="center"/>
    </xf>
    <xf numFmtId="41" fontId="13" fillId="2" borderId="10" xfId="0" applyNumberFormat="1" applyFont="1" applyFill="1" applyBorder="1" applyAlignment="1">
      <alignment horizontal="center"/>
    </xf>
    <xf numFmtId="41" fontId="13" fillId="2" borderId="11" xfId="0" applyNumberFormat="1" applyFont="1" applyFill="1" applyBorder="1" applyAlignment="1">
      <alignment horizontal="center"/>
    </xf>
    <xf numFmtId="1" fontId="12" fillId="2" borderId="0" xfId="0" applyNumberFormat="1" applyFont="1" applyFill="1" applyAlignment="1">
      <alignment horizontal="center"/>
    </xf>
    <xf numFmtId="1" fontId="12" fillId="2" borderId="7" xfId="0" applyNumberFormat="1" applyFont="1" applyFill="1" applyBorder="1" applyAlignment="1">
      <alignment horizontal="center"/>
    </xf>
    <xf numFmtId="3" fontId="2" fillId="0" borderId="8" xfId="0" applyNumberFormat="1" applyFont="1" applyBorder="1" applyAlignment="1"/>
    <xf numFmtId="0" fontId="1" fillId="0" borderId="8" xfId="0" applyNumberFormat="1" applyFont="1" applyBorder="1" applyAlignment="1"/>
    <xf numFmtId="0" fontId="15" fillId="0" borderId="0" xfId="0" applyNumberFormat="1" applyFont="1" applyAlignment="1"/>
    <xf numFmtId="3" fontId="15" fillId="0" borderId="0" xfId="0" applyNumberFormat="1" applyFont="1" applyAlignment="1"/>
    <xf numFmtId="0" fontId="0" fillId="0" borderId="13" xfId="0" applyFill="1" applyBorder="1"/>
    <xf numFmtId="0" fontId="0" fillId="0" borderId="0" xfId="0" applyFill="1" applyBorder="1"/>
    <xf numFmtId="0" fontId="1" fillId="3" borderId="13" xfId="0" applyFont="1" applyFill="1" applyBorder="1" applyAlignment="1">
      <alignment horizontal="center"/>
    </xf>
    <xf numFmtId="0" fontId="0" fillId="0" borderId="13" xfId="0" applyBorder="1"/>
    <xf numFmtId="0" fontId="1" fillId="3" borderId="14" xfId="0" applyFont="1" applyFill="1" applyBorder="1" applyAlignment="1">
      <alignment horizontal="center"/>
    </xf>
    <xf numFmtId="0" fontId="12" fillId="0" borderId="15" xfId="0" applyNumberFormat="1" applyFont="1" applyBorder="1" applyAlignment="1">
      <alignment horizontal="center"/>
    </xf>
    <xf numFmtId="41" fontId="8" fillId="0" borderId="15" xfId="0" applyNumberFormat="1" applyFont="1" applyBorder="1" applyAlignment="1">
      <alignment horizontal="center"/>
    </xf>
    <xf numFmtId="0" fontId="2" fillId="4" borderId="0" xfId="0" applyNumberFormat="1" applyFont="1" applyFill="1" applyAlignment="1">
      <alignment horizontal="center"/>
    </xf>
    <xf numFmtId="0" fontId="8" fillId="0" borderId="0" xfId="0" applyNumberFormat="1" applyFont="1" applyAlignment="1">
      <alignment horizontal="centerContinuous"/>
    </xf>
    <xf numFmtId="41" fontId="8" fillId="0" borderId="0" xfId="0" applyNumberFormat="1" applyFont="1" applyAlignment="1">
      <alignment horizontal="centerContinuous"/>
    </xf>
    <xf numFmtId="41" fontId="2" fillId="0" borderId="16" xfId="0" applyNumberFormat="1" applyFont="1" applyBorder="1" applyAlignment="1"/>
    <xf numFmtId="0" fontId="1" fillId="3" borderId="16" xfId="0" applyFont="1" applyFill="1" applyBorder="1" applyAlignment="1">
      <alignment horizontal="center"/>
    </xf>
    <xf numFmtId="1" fontId="2" fillId="0" borderId="14" xfId="0" applyNumberFormat="1" applyFont="1" applyBorder="1" applyAlignment="1">
      <alignment horizontal="center"/>
    </xf>
    <xf numFmtId="0" fontId="0" fillId="3" borderId="16" xfId="0" applyFill="1" applyBorder="1" applyAlignment="1">
      <alignment horizontal="center"/>
    </xf>
    <xf numFmtId="1" fontId="2" fillId="0" borderId="16" xfId="0" applyNumberFormat="1" applyFont="1" applyBorder="1" applyAlignment="1"/>
    <xf numFmtId="0" fontId="25" fillId="0" borderId="0" xfId="0" applyFont="1"/>
    <xf numFmtId="0" fontId="26" fillId="0" borderId="0" xfId="0" applyNumberFormat="1" applyFont="1" applyAlignment="1">
      <alignment horizontal="left"/>
    </xf>
    <xf numFmtId="0" fontId="8" fillId="0" borderId="0" xfId="0" applyNumberFormat="1" applyFont="1" applyAlignment="1"/>
    <xf numFmtId="0" fontId="8" fillId="0" borderId="0" xfId="0" applyNumberFormat="1" applyFont="1" applyAlignment="1">
      <alignment horizontal="center"/>
    </xf>
    <xf numFmtId="0" fontId="8" fillId="0" borderId="17" xfId="0" applyNumberFormat="1" applyFont="1" applyBorder="1" applyAlignment="1">
      <alignment horizontal="center"/>
    </xf>
    <xf numFmtId="164" fontId="8" fillId="0" borderId="17" xfId="0" applyNumberFormat="1" applyFont="1" applyBorder="1" applyAlignment="1">
      <alignment horizontal="center"/>
    </xf>
    <xf numFmtId="0" fontId="8" fillId="0" borderId="11" xfId="0" applyNumberFormat="1" applyFont="1" applyBorder="1" applyAlignment="1">
      <alignment horizontal="center"/>
    </xf>
    <xf numFmtId="3" fontId="8" fillId="0" borderId="11" xfId="0" applyNumberFormat="1" applyFont="1" applyBorder="1" applyAlignment="1">
      <alignment horizontal="center"/>
    </xf>
    <xf numFmtId="0" fontId="2" fillId="0" borderId="8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3" borderId="9" xfId="0" applyFont="1" applyFill="1" applyBorder="1" applyAlignment="1">
      <alignment horizontal="center"/>
    </xf>
    <xf numFmtId="0" fontId="0" fillId="3" borderId="18" xfId="0" applyFill="1" applyBorder="1"/>
    <xf numFmtId="0" fontId="0" fillId="3" borderId="19" xfId="0" applyFill="1" applyBorder="1"/>
    <xf numFmtId="0" fontId="0" fillId="3" borderId="20" xfId="0" applyFill="1" applyBorder="1"/>
    <xf numFmtId="0" fontId="0" fillId="0" borderId="0" xfId="0" applyBorder="1"/>
    <xf numFmtId="0" fontId="8" fillId="4" borderId="0" xfId="0" applyNumberFormat="1" applyFont="1" applyFill="1" applyAlignment="1">
      <alignment horizontal="right"/>
    </xf>
    <xf numFmtId="0" fontId="8" fillId="4" borderId="0" xfId="0" applyNumberFormat="1" applyFont="1" applyFill="1" applyAlignment="1"/>
    <xf numFmtId="41" fontId="12" fillId="2" borderId="7" xfId="0" applyNumberFormat="1" applyFont="1" applyFill="1" applyBorder="1" applyAlignment="1">
      <alignment horizontal="center"/>
    </xf>
    <xf numFmtId="41" fontId="13" fillId="0" borderId="11" xfId="0" applyNumberFormat="1" applyFont="1" applyBorder="1" applyAlignment="1">
      <alignment horizontal="center"/>
    </xf>
    <xf numFmtId="0" fontId="19" fillId="3" borderId="8" xfId="0" applyFont="1" applyFill="1" applyBorder="1" applyAlignment="1">
      <alignment horizontal="center"/>
    </xf>
    <xf numFmtId="1" fontId="13" fillId="2" borderId="11" xfId="0" applyNumberFormat="1" applyFont="1" applyFill="1" applyBorder="1" applyAlignment="1">
      <alignment horizontal="center"/>
    </xf>
    <xf numFmtId="164" fontId="13" fillId="0" borderId="13" xfId="0" applyNumberFormat="1" applyFont="1" applyBorder="1" applyAlignment="1">
      <alignment horizontal="center"/>
    </xf>
    <xf numFmtId="1" fontId="19" fillId="2" borderId="16" xfId="0" applyNumberFormat="1" applyFont="1" applyFill="1" applyBorder="1" applyAlignment="1">
      <alignment horizontal="center"/>
    </xf>
    <xf numFmtId="41" fontId="13" fillId="2" borderId="21" xfId="0" applyNumberFormat="1" applyFont="1" applyFill="1" applyBorder="1" applyAlignment="1">
      <alignment horizontal="center"/>
    </xf>
    <xf numFmtId="41" fontId="13" fillId="0" borderId="21" xfId="0" applyNumberFormat="1" applyFont="1" applyBorder="1" applyAlignment="1">
      <alignment horizontal="center"/>
    </xf>
    <xf numFmtId="49" fontId="19" fillId="3" borderId="22" xfId="0" applyNumberFormat="1" applyFont="1" applyFill="1" applyBorder="1" applyAlignment="1">
      <alignment horizontal="center"/>
    </xf>
    <xf numFmtId="1" fontId="20" fillId="2" borderId="21" xfId="0" applyNumberFormat="1" applyFont="1" applyFill="1" applyBorder="1" applyAlignment="1">
      <alignment horizontal="center"/>
    </xf>
    <xf numFmtId="3" fontId="13" fillId="0" borderId="23" xfId="0" applyNumberFormat="1" applyFont="1" applyBorder="1" applyAlignment="1">
      <alignment horizontal="center"/>
    </xf>
    <xf numFmtId="0" fontId="19" fillId="3" borderId="22" xfId="0" applyFont="1" applyFill="1" applyBorder="1" applyAlignment="1">
      <alignment horizontal="center"/>
    </xf>
    <xf numFmtId="1" fontId="19" fillId="2" borderId="22" xfId="0" applyNumberFormat="1" applyFont="1" applyFill="1" applyBorder="1" applyAlignment="1">
      <alignment horizontal="center"/>
    </xf>
    <xf numFmtId="0" fontId="17" fillId="0" borderId="0" xfId="0" applyNumberFormat="1" applyFont="1" applyAlignment="1">
      <alignment horizontal="left"/>
    </xf>
    <xf numFmtId="0" fontId="17" fillId="4" borderId="0" xfId="0" applyNumberFormat="1" applyFont="1" applyFill="1" applyAlignment="1">
      <alignment horizontal="left"/>
    </xf>
    <xf numFmtId="0" fontId="16" fillId="0" borderId="0" xfId="0" applyNumberFormat="1" applyFont="1" applyAlignment="1"/>
    <xf numFmtId="41" fontId="16" fillId="0" borderId="0" xfId="0" applyNumberFormat="1" applyFont="1" applyAlignment="1"/>
    <xf numFmtId="0" fontId="17" fillId="5" borderId="8" xfId="0" applyNumberFormat="1" applyFont="1" applyFill="1" applyBorder="1" applyAlignment="1">
      <alignment horizontal="left"/>
    </xf>
    <xf numFmtId="0" fontId="18" fillId="0" borderId="0" xfId="0" applyFont="1" applyAlignment="1">
      <alignment horizontal="center"/>
    </xf>
    <xf numFmtId="0" fontId="21" fillId="3" borderId="13" xfId="0" applyFont="1" applyFill="1" applyBorder="1"/>
    <xf numFmtId="0" fontId="21" fillId="3" borderId="0" xfId="0" applyFont="1" applyFill="1" applyBorder="1"/>
    <xf numFmtId="0" fontId="21" fillId="3" borderId="24" xfId="0" applyFont="1" applyFill="1" applyBorder="1"/>
    <xf numFmtId="0" fontId="22" fillId="0" borderId="0" xfId="0" applyNumberFormat="1" applyFont="1" applyAlignment="1">
      <alignment horizontal="left"/>
    </xf>
    <xf numFmtId="0" fontId="23" fillId="0" borderId="0" xfId="0" applyNumberFormat="1" applyFont="1" applyAlignment="1"/>
    <xf numFmtId="41" fontId="23" fillId="0" borderId="0" xfId="0" applyNumberFormat="1" applyFont="1" applyAlignment="1"/>
    <xf numFmtId="1" fontId="23" fillId="0" borderId="0" xfId="0" applyNumberFormat="1" applyFont="1" applyAlignment="1">
      <alignment horizontal="center"/>
    </xf>
    <xf numFmtId="0" fontId="21" fillId="3" borderId="13" xfId="0" applyFont="1" applyFill="1" applyBorder="1" applyAlignment="1">
      <alignment horizontal="center"/>
    </xf>
    <xf numFmtId="0" fontId="1" fillId="0" borderId="25" xfId="0" applyFont="1" applyBorder="1"/>
    <xf numFmtId="0" fontId="1" fillId="0" borderId="26" xfId="0" applyFont="1" applyBorder="1"/>
    <xf numFmtId="0" fontId="1" fillId="3" borderId="0" xfId="0" applyFont="1" applyFill="1" applyBorder="1" applyAlignment="1">
      <alignment horizontal="center"/>
    </xf>
    <xf numFmtId="0" fontId="1" fillId="3" borderId="24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3" borderId="25" xfId="0" applyFont="1" applyFill="1" applyBorder="1" applyAlignment="1">
      <alignment horizontal="left"/>
    </xf>
    <xf numFmtId="0" fontId="1" fillId="3" borderId="25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0" fontId="17" fillId="5" borderId="0" xfId="0" applyNumberFormat="1" applyFont="1" applyFill="1" applyBorder="1" applyAlignment="1">
      <alignment horizontal="left"/>
    </xf>
    <xf numFmtId="3" fontId="2" fillId="0" borderId="27" xfId="0" applyNumberFormat="1" applyFont="1" applyBorder="1" applyAlignment="1"/>
    <xf numFmtId="3" fontId="2" fillId="0" borderId="28" xfId="0" applyNumberFormat="1" applyFont="1" applyBorder="1" applyAlignment="1"/>
    <xf numFmtId="0" fontId="2" fillId="0" borderId="29" xfId="0" applyNumberFormat="1" applyFont="1" applyBorder="1" applyAlignment="1"/>
    <xf numFmtId="0" fontId="2" fillId="0" borderId="30" xfId="0" applyNumberFormat="1" applyFont="1" applyBorder="1" applyAlignment="1"/>
    <xf numFmtId="0" fontId="6" fillId="0" borderId="31" xfId="0" applyNumberFormat="1" applyFont="1" applyBorder="1" applyAlignment="1"/>
    <xf numFmtId="0" fontId="2" fillId="0" borderId="31" xfId="0" applyNumberFormat="1" applyFont="1" applyBorder="1" applyAlignment="1"/>
    <xf numFmtId="3" fontId="2" fillId="0" borderId="17" xfId="0" applyNumberFormat="1" applyFont="1" applyBorder="1" applyAlignment="1"/>
    <xf numFmtId="0" fontId="1" fillId="0" borderId="17" xfId="0" applyNumberFormat="1" applyFont="1" applyBorder="1" applyAlignment="1"/>
    <xf numFmtId="0" fontId="3" fillId="0" borderId="0" xfId="0" applyNumberFormat="1" applyFont="1" applyBorder="1" applyAlignment="1"/>
    <xf numFmtId="0" fontId="2" fillId="0" borderId="32" xfId="0" applyNumberFormat="1" applyFont="1" applyBorder="1" applyAlignment="1"/>
    <xf numFmtId="0" fontId="6" fillId="0" borderId="33" xfId="0" applyNumberFormat="1" applyFont="1" applyBorder="1" applyAlignment="1"/>
    <xf numFmtId="0" fontId="29" fillId="1" borderId="2" xfId="0" applyNumberFormat="1" applyFont="1" applyFill="1" applyBorder="1" applyAlignment="1">
      <alignment horizontal="center"/>
    </xf>
    <xf numFmtId="3" fontId="2" fillId="0" borderId="32" xfId="0" applyNumberFormat="1" applyFont="1" applyBorder="1" applyAlignment="1"/>
    <xf numFmtId="3" fontId="2" fillId="0" borderId="33" xfId="0" applyNumberFormat="1" applyFont="1" applyBorder="1" applyAlignment="1"/>
    <xf numFmtId="0" fontId="2" fillId="0" borderId="0" xfId="0" applyNumberFormat="1" applyFont="1" applyAlignment="1">
      <alignment horizontal="center"/>
    </xf>
    <xf numFmtId="10" fontId="2" fillId="0" borderId="0" xfId="0" applyNumberFormat="1" applyFont="1" applyAlignment="1">
      <alignment horizontal="center"/>
    </xf>
    <xf numFmtId="0" fontId="28" fillId="0" borderId="0" xfId="0" applyNumberFormat="1" applyFont="1" applyAlignment="1">
      <alignment horizontal="center"/>
    </xf>
    <xf numFmtId="10" fontId="28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168" fontId="3" fillId="0" borderId="0" xfId="0" applyNumberFormat="1" applyFont="1" applyAlignment="1"/>
    <xf numFmtId="0" fontId="5" fillId="0" borderId="1" xfId="0" applyNumberFormat="1" applyFont="1" applyBorder="1" applyAlignment="1"/>
    <xf numFmtId="3" fontId="2" fillId="0" borderId="34" xfId="0" applyNumberFormat="1" applyFont="1" applyBorder="1" applyAlignment="1"/>
    <xf numFmtId="0" fontId="2" fillId="0" borderId="28" xfId="0" applyNumberFormat="1" applyFont="1" applyBorder="1" applyAlignment="1"/>
    <xf numFmtId="169" fontId="2" fillId="0" borderId="0" xfId="0" applyNumberFormat="1" applyFont="1" applyAlignment="1"/>
    <xf numFmtId="0" fontId="2" fillId="1" borderId="35" xfId="0" applyNumberFormat="1" applyFont="1" applyFill="1" applyBorder="1" applyAlignment="1"/>
    <xf numFmtId="164" fontId="2" fillId="0" borderId="36" xfId="0" applyNumberFormat="1" applyFont="1" applyBorder="1" applyAlignment="1"/>
    <xf numFmtId="164" fontId="2" fillId="0" borderId="37" xfId="0" applyNumberFormat="1" applyFont="1" applyBorder="1" applyAlignment="1"/>
    <xf numFmtId="3" fontId="2" fillId="0" borderId="36" xfId="0" applyNumberFormat="1" applyFont="1" applyBorder="1" applyAlignment="1"/>
    <xf numFmtId="3" fontId="2" fillId="0" borderId="39" xfId="0" applyNumberFormat="1" applyFont="1" applyBorder="1" applyAlignment="1"/>
    <xf numFmtId="0" fontId="3" fillId="0" borderId="0" xfId="0" applyNumberFormat="1" applyFont="1" applyBorder="1" applyAlignment="1">
      <alignment horizontal="center"/>
    </xf>
    <xf numFmtId="0" fontId="2" fillId="0" borderId="25" xfId="0" applyNumberFormat="1" applyFont="1" applyBorder="1" applyAlignment="1">
      <alignment horizontal="center"/>
    </xf>
    <xf numFmtId="0" fontId="2" fillId="0" borderId="16" xfId="0" applyNumberFormat="1" applyFont="1" applyBorder="1" applyAlignment="1"/>
    <xf numFmtId="0" fontId="2" fillId="0" borderId="22" xfId="0" applyNumberFormat="1" applyFont="1" applyBorder="1" applyAlignment="1"/>
    <xf numFmtId="0" fontId="6" fillId="0" borderId="0" xfId="0" applyNumberFormat="1" applyFont="1" applyAlignment="1">
      <alignment horizontal="right" indent="3"/>
    </xf>
    <xf numFmtId="165" fontId="2" fillId="0" borderId="0" xfId="0" applyNumberFormat="1" applyFont="1" applyAlignment="1"/>
    <xf numFmtId="0" fontId="2" fillId="1" borderId="24" xfId="0" applyNumberFormat="1" applyFont="1" applyFill="1" applyBorder="1" applyAlignment="1">
      <alignment horizontal="center"/>
    </xf>
    <xf numFmtId="0" fontId="2" fillId="1" borderId="24" xfId="0" applyNumberFormat="1" applyFont="1" applyFill="1" applyBorder="1" applyAlignment="1">
      <alignment horizontal="center" vertical="top"/>
    </xf>
    <xf numFmtId="164" fontId="2" fillId="0" borderId="35" xfId="0" applyNumberFormat="1" applyFont="1" applyBorder="1" applyAlignment="1"/>
    <xf numFmtId="3" fontId="2" fillId="0" borderId="35" xfId="0" applyNumberFormat="1" applyFont="1" applyBorder="1" applyAlignment="1"/>
    <xf numFmtId="3" fontId="2" fillId="0" borderId="41" xfId="0" applyNumberFormat="1" applyFont="1" applyBorder="1" applyAlignment="1"/>
    <xf numFmtId="3" fontId="2" fillId="0" borderId="42" xfId="0" applyNumberFormat="1" applyFont="1" applyBorder="1" applyAlignment="1"/>
    <xf numFmtId="164" fontId="2" fillId="0" borderId="43" xfId="0" applyNumberFormat="1" applyFont="1" applyBorder="1" applyAlignment="1"/>
    <xf numFmtId="165" fontId="2" fillId="0" borderId="35" xfId="0" applyNumberFormat="1" applyFont="1" applyBorder="1" applyAlignment="1"/>
    <xf numFmtId="165" fontId="2" fillId="0" borderId="43" xfId="0" applyNumberFormat="1" applyFont="1" applyBorder="1" applyAlignment="1"/>
    <xf numFmtId="0" fontId="8" fillId="1" borderId="44" xfId="0" applyNumberFormat="1" applyFont="1" applyFill="1" applyBorder="1" applyAlignment="1">
      <alignment horizontal="centerContinuous" vertical="center"/>
    </xf>
    <xf numFmtId="164" fontId="8" fillId="0" borderId="32" xfId="0" applyNumberFormat="1" applyFont="1" applyBorder="1" applyAlignment="1"/>
    <xf numFmtId="0" fontId="10" fillId="0" borderId="2" xfId="0" applyNumberFormat="1" applyFont="1" applyBorder="1" applyAlignment="1">
      <alignment horizontal="center"/>
    </xf>
    <xf numFmtId="0" fontId="10" fillId="0" borderId="3" xfId="0" applyNumberFormat="1" applyFont="1" applyBorder="1" applyAlignment="1">
      <alignment horizontal="center"/>
    </xf>
    <xf numFmtId="3" fontId="10" fillId="0" borderId="2" xfId="0" applyNumberFormat="1" applyFont="1" applyBorder="1" applyAlignment="1">
      <alignment horizontal="center"/>
    </xf>
    <xf numFmtId="3" fontId="10" fillId="0" borderId="3" xfId="0" applyNumberFormat="1" applyFont="1" applyBorder="1" applyAlignment="1">
      <alignment horizontal="center"/>
    </xf>
    <xf numFmtId="0" fontId="10" fillId="0" borderId="1" xfId="0" applyNumberFormat="1" applyFont="1" applyBorder="1" applyAlignment="1">
      <alignment horizontal="center"/>
    </xf>
    <xf numFmtId="0" fontId="10" fillId="0" borderId="0" xfId="0" applyNumberFormat="1" applyFont="1" applyAlignment="1">
      <alignment horizontal="center"/>
    </xf>
    <xf numFmtId="15" fontId="10" fillId="0" borderId="1" xfId="0" applyNumberFormat="1" applyFont="1" applyBorder="1" applyAlignment="1">
      <alignment horizontal="center"/>
    </xf>
    <xf numFmtId="15" fontId="10" fillId="0" borderId="0" xfId="0" applyNumberFormat="1" applyFont="1" applyAlignment="1">
      <alignment horizontal="center"/>
    </xf>
    <xf numFmtId="3" fontId="10" fillId="0" borderId="1" xfId="0" applyNumberFormat="1" applyFont="1" applyBorder="1" applyAlignment="1">
      <alignment horizontal="center"/>
    </xf>
    <xf numFmtId="3" fontId="10" fillId="0" borderId="0" xfId="0" applyNumberFormat="1" applyFont="1" applyAlignment="1">
      <alignment horizontal="center"/>
    </xf>
    <xf numFmtId="3" fontId="2" fillId="0" borderId="0" xfId="0" applyNumberFormat="1" applyFont="1" applyAlignment="1">
      <alignment horizontal="right"/>
    </xf>
    <xf numFmtId="3" fontId="2" fillId="0" borderId="31" xfId="0" applyNumberFormat="1" applyFont="1" applyBorder="1" applyAlignment="1"/>
    <xf numFmtId="3" fontId="1" fillId="0" borderId="16" xfId="0" applyNumberFormat="1" applyFont="1" applyBorder="1" applyAlignment="1"/>
    <xf numFmtId="3" fontId="1" fillId="0" borderId="8" xfId="0" applyNumberFormat="1" applyFont="1" applyBorder="1" applyAlignment="1"/>
    <xf numFmtId="3" fontId="1" fillId="0" borderId="17" xfId="0" applyNumberFormat="1" applyFont="1" applyBorder="1" applyAlignment="1"/>
    <xf numFmtId="3" fontId="3" fillId="0" borderId="0" xfId="0" applyNumberFormat="1" applyFont="1" applyAlignment="1"/>
    <xf numFmtId="3" fontId="1" fillId="0" borderId="0" xfId="0" applyNumberFormat="1" applyFont="1" applyAlignment="1"/>
    <xf numFmtId="167" fontId="8" fillId="0" borderId="46" xfId="0" applyNumberFormat="1" applyFont="1" applyBorder="1" applyAlignment="1"/>
    <xf numFmtId="0" fontId="8" fillId="1" borderId="8" xfId="0" applyNumberFormat="1" applyFont="1" applyFill="1" applyBorder="1" applyAlignment="1">
      <alignment horizontal="center"/>
    </xf>
    <xf numFmtId="0" fontId="5" fillId="0" borderId="4" xfId="0" applyNumberFormat="1" applyFont="1" applyBorder="1" applyAlignment="1"/>
    <xf numFmtId="0" fontId="5" fillId="0" borderId="4" xfId="0" applyNumberFormat="1" applyFont="1" applyBorder="1" applyAlignment="1">
      <alignment horizontal="right"/>
    </xf>
    <xf numFmtId="0" fontId="2" fillId="0" borderId="9" xfId="0" applyNumberFormat="1" applyFont="1" applyBorder="1" applyAlignment="1"/>
    <xf numFmtId="0" fontId="28" fillId="0" borderId="48" xfId="0" applyNumberFormat="1" applyFont="1" applyBorder="1" applyAlignment="1">
      <alignment horizontal="right"/>
    </xf>
    <xf numFmtId="0" fontId="8" fillId="1" borderId="45" xfId="0" applyNumberFormat="1" applyFont="1" applyFill="1" applyBorder="1" applyAlignment="1">
      <alignment horizontal="center" vertical="center"/>
    </xf>
    <xf numFmtId="164" fontId="2" fillId="0" borderId="3" xfId="0" applyNumberFormat="1" applyFont="1" applyBorder="1" applyAlignment="1"/>
    <xf numFmtId="164" fontId="2" fillId="0" borderId="50" xfId="0" applyNumberFormat="1" applyFont="1" applyBorder="1" applyAlignment="1"/>
    <xf numFmtId="0" fontId="6" fillId="0" borderId="16" xfId="0" applyNumberFormat="1" applyFont="1" applyBorder="1" applyAlignment="1">
      <alignment horizontal="left" indent="3"/>
    </xf>
    <xf numFmtId="0" fontId="8" fillId="1" borderId="40" xfId="0" applyNumberFormat="1" applyFont="1" applyFill="1" applyBorder="1" applyAlignment="1">
      <alignment horizontal="centerContinuous" vertical="center"/>
    </xf>
    <xf numFmtId="0" fontId="5" fillId="0" borderId="52" xfId="0" applyNumberFormat="1" applyFont="1" applyBorder="1" applyAlignment="1"/>
    <xf numFmtId="0" fontId="5" fillId="0" borderId="51" xfId="0" applyNumberFormat="1" applyFont="1" applyBorder="1" applyAlignment="1"/>
    <xf numFmtId="0" fontId="7" fillId="0" borderId="0" xfId="0" applyNumberFormat="1" applyFont="1" applyBorder="1" applyAlignment="1"/>
    <xf numFmtId="164" fontId="2" fillId="0" borderId="38" xfId="0" applyNumberFormat="1" applyFont="1" applyBorder="1" applyAlignment="1"/>
    <xf numFmtId="0" fontId="6" fillId="1" borderId="47" xfId="0" applyNumberFormat="1" applyFont="1" applyFill="1" applyBorder="1" applyAlignment="1"/>
    <xf numFmtId="3" fontId="2" fillId="1" borderId="47" xfId="0" applyNumberFormat="1" applyFont="1" applyFill="1" applyBorder="1" applyAlignment="1"/>
    <xf numFmtId="0" fontId="2" fillId="1" borderId="48" xfId="0" applyNumberFormat="1" applyFont="1" applyFill="1" applyBorder="1" applyAlignment="1"/>
    <xf numFmtId="0" fontId="8" fillId="1" borderId="9" xfId="0" applyNumberFormat="1" applyFont="1" applyFill="1" applyBorder="1" applyAlignment="1"/>
    <xf numFmtId="0" fontId="30" fillId="1" borderId="1" xfId="0" applyNumberFormat="1" applyFont="1" applyFill="1" applyBorder="1" applyAlignment="1"/>
    <xf numFmtId="0" fontId="8" fillId="1" borderId="1" xfId="0" applyNumberFormat="1" applyFont="1" applyFill="1" applyBorder="1" applyAlignment="1">
      <alignment horizontal="center"/>
    </xf>
    <xf numFmtId="0" fontId="8" fillId="1" borderId="53" xfId="0" applyNumberFormat="1" applyFont="1" applyFill="1" applyBorder="1" applyAlignment="1">
      <alignment horizontal="center"/>
    </xf>
    <xf numFmtId="0" fontId="8" fillId="1" borderId="1" xfId="0" applyNumberFormat="1" applyFont="1" applyFill="1" applyBorder="1" applyAlignment="1">
      <alignment horizontal="center" vertical="top"/>
    </xf>
    <xf numFmtId="0" fontId="8" fillId="1" borderId="38" xfId="0" applyNumberFormat="1" applyFont="1" applyFill="1" applyBorder="1" applyAlignment="1">
      <alignment horizontal="center" vertical="top"/>
    </xf>
    <xf numFmtId="0" fontId="30" fillId="1" borderId="2" xfId="0" applyNumberFormat="1" applyFont="1" applyFill="1" applyBorder="1" applyAlignment="1"/>
    <xf numFmtId="0" fontId="8" fillId="1" borderId="2" xfId="0" applyNumberFormat="1" applyFont="1" applyFill="1" applyBorder="1" applyAlignment="1">
      <alignment horizontal="center"/>
    </xf>
    <xf numFmtId="3" fontId="8" fillId="1" borderId="1" xfId="0" applyNumberFormat="1" applyFont="1" applyFill="1" applyBorder="1" applyAlignment="1">
      <alignment horizontal="center"/>
    </xf>
    <xf numFmtId="3" fontId="8" fillId="1" borderId="1" xfId="0" applyNumberFormat="1" applyFont="1" applyFill="1" applyBorder="1" applyAlignment="1">
      <alignment horizontal="center" vertical="top"/>
    </xf>
    <xf numFmtId="0" fontId="2" fillId="0" borderId="14" xfId="0" applyNumberFormat="1" applyFont="1" applyBorder="1" applyAlignment="1"/>
    <xf numFmtId="0" fontId="2" fillId="0" borderId="25" xfId="0" applyNumberFormat="1" applyFont="1" applyBorder="1" applyAlignment="1"/>
    <xf numFmtId="3" fontId="2" fillId="0" borderId="14" xfId="0" applyNumberFormat="1" applyFont="1" applyBorder="1" applyAlignment="1"/>
    <xf numFmtId="3" fontId="2" fillId="0" borderId="26" xfId="0" applyNumberFormat="1" applyFont="1" applyBorder="1" applyAlignment="1"/>
    <xf numFmtId="3" fontId="2" fillId="0" borderId="5" xfId="0" applyNumberFormat="1" applyFont="1" applyBorder="1" applyAlignment="1"/>
    <xf numFmtId="3" fontId="2" fillId="0" borderId="50" xfId="0" applyNumberFormat="1" applyFont="1" applyBorder="1" applyAlignment="1"/>
    <xf numFmtId="3" fontId="2" fillId="0" borderId="54" xfId="0" applyNumberFormat="1" applyFont="1" applyBorder="1" applyAlignment="1"/>
    <xf numFmtId="3" fontId="2" fillId="0" borderId="25" xfId="0" applyNumberFormat="1" applyFont="1" applyBorder="1" applyAlignment="1"/>
    <xf numFmtId="0" fontId="2" fillId="0" borderId="55" xfId="0" applyNumberFormat="1" applyFont="1" applyBorder="1" applyAlignment="1"/>
    <xf numFmtId="0" fontId="2" fillId="0" borderId="56" xfId="0" applyNumberFormat="1" applyFont="1" applyBorder="1" applyAlignment="1"/>
    <xf numFmtId="0" fontId="2" fillId="0" borderId="57" xfId="0" applyNumberFormat="1" applyFont="1" applyBorder="1" applyAlignment="1"/>
    <xf numFmtId="3" fontId="2" fillId="0" borderId="55" xfId="0" applyNumberFormat="1" applyFont="1" applyBorder="1" applyAlignment="1"/>
    <xf numFmtId="3" fontId="2" fillId="0" borderId="57" xfId="0" applyNumberFormat="1" applyFont="1" applyBorder="1" applyAlignment="1"/>
    <xf numFmtId="1" fontId="2" fillId="0" borderId="8" xfId="0" applyNumberFormat="1" applyFont="1" applyBorder="1" applyAlignment="1"/>
    <xf numFmtId="164" fontId="2" fillId="0" borderId="2" xfId="0" applyNumberFormat="1" applyFont="1" applyBorder="1" applyAlignment="1"/>
    <xf numFmtId="164" fontId="2" fillId="0" borderId="5" xfId="0" applyNumberFormat="1" applyFont="1" applyBorder="1" applyAlignment="1"/>
    <xf numFmtId="0" fontId="2" fillId="0" borderId="59" xfId="0" applyNumberFormat="1" applyFont="1" applyBorder="1" applyAlignment="1"/>
    <xf numFmtId="0" fontId="2" fillId="0" borderId="58" xfId="0" applyNumberFormat="1" applyFont="1" applyBorder="1" applyAlignment="1"/>
    <xf numFmtId="0" fontId="2" fillId="0" borderId="60" xfId="0" applyNumberFormat="1" applyFont="1" applyBorder="1" applyAlignment="1"/>
    <xf numFmtId="3" fontId="1" fillId="3" borderId="8" xfId="0" applyNumberFormat="1" applyFont="1" applyFill="1" applyBorder="1" applyAlignment="1">
      <alignment horizontal="center"/>
    </xf>
    <xf numFmtId="3" fontId="0" fillId="3" borderId="12" xfId="0" applyNumberFormat="1" applyFill="1" applyBorder="1" applyAlignment="1">
      <alignment horizontal="center"/>
    </xf>
    <xf numFmtId="0" fontId="1" fillId="0" borderId="0" xfId="0" applyFont="1"/>
    <xf numFmtId="43" fontId="0" fillId="0" borderId="0" xfId="0" applyNumberFormat="1"/>
    <xf numFmtId="41" fontId="1" fillId="3" borderId="8" xfId="0" applyNumberFormat="1" applyFont="1" applyFill="1" applyBorder="1" applyAlignment="1">
      <alignment horizontal="center"/>
    </xf>
    <xf numFmtId="41" fontId="2" fillId="0" borderId="22" xfId="0" applyNumberFormat="1" applyFont="1" applyBorder="1" applyAlignment="1"/>
    <xf numFmtId="41" fontId="2" fillId="0" borderId="61" xfId="0" applyNumberFormat="1" applyFont="1" applyBorder="1" applyAlignment="1"/>
    <xf numFmtId="0" fontId="31" fillId="0" borderId="0" xfId="0" applyFont="1"/>
    <xf numFmtId="41" fontId="32" fillId="3" borderId="8" xfId="0" applyNumberFormat="1" applyFont="1" applyFill="1" applyBorder="1" applyAlignment="1">
      <alignment horizontal="center"/>
    </xf>
    <xf numFmtId="3" fontId="32" fillId="0" borderId="16" xfId="0" applyNumberFormat="1" applyFont="1" applyBorder="1" applyAlignment="1"/>
    <xf numFmtId="3" fontId="32" fillId="0" borderId="8" xfId="0" applyNumberFormat="1" applyFont="1" applyBorder="1" applyAlignment="1"/>
    <xf numFmtId="164" fontId="2" fillId="0" borderId="0" xfId="0" quotePrefix="1" applyNumberFormat="1" applyFont="1" applyAlignment="1"/>
    <xf numFmtId="166" fontId="2" fillId="0" borderId="0" xfId="0" applyNumberFormat="1" applyFont="1" applyAlignment="1">
      <alignment horizontal="left"/>
    </xf>
    <xf numFmtId="0" fontId="8" fillId="1" borderId="49" xfId="0" applyNumberFormat="1" applyFont="1" applyFill="1" applyBorder="1" applyAlignment="1">
      <alignment horizontal="center" vertical="center"/>
    </xf>
    <xf numFmtId="0" fontId="8" fillId="1" borderId="44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/>
    </xf>
    <xf numFmtId="0" fontId="27" fillId="6" borderId="19" xfId="0" applyFont="1" applyFill="1" applyBorder="1" applyAlignment="1">
      <alignment horizontal="center"/>
    </xf>
    <xf numFmtId="0" fontId="0" fillId="6" borderId="25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Yuliana Westover" id="{2E007951-8016-4A3F-86AE-B53497655D99}" userId="S::ywestover@collaborativesolutions.com::5e5ca5c3-c25a-451d-9bfa-f9e665852a51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16" dT="2019-09-20T18:35:45.57" personId="{2E007951-8016-4A3F-86AE-B53497655D99}" id="{00290975-EDA0-4BE6-A4B7-B245A5F6F45B}">
    <text>double check invoices from Wezel to make sure they hit the right category</text>
  </threadedComment>
  <threadedComment ref="H32" dT="2019-09-20T19:19:46.09" personId="{2E007951-8016-4A3F-86AE-B53497655D99}" id="{B8EBDDE7-8E88-4EE7-9748-A02005FB062C}">
    <text>YTD seems skewed, we spent more than $1,600 in roof repairs. Need to double check invoices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O113"/>
  <sheetViews>
    <sheetView tabSelected="1" showOutlineSymbols="0" zoomScale="110" zoomScaleNormal="110" workbookViewId="0">
      <selection activeCell="D20" sqref="D20"/>
    </sheetView>
  </sheetViews>
  <sheetFormatPr defaultColWidth="9.6640625" defaultRowHeight="15"/>
  <cols>
    <col min="1" max="1" width="7.6640625" style="1" customWidth="1"/>
    <col min="2" max="2" width="35.6640625" style="1" customWidth="1"/>
    <col min="3" max="3" width="12.5546875" style="1" customWidth="1"/>
    <col min="4" max="4" width="11.6640625" style="1" customWidth="1"/>
    <col min="5" max="5" width="10.6640625" style="1" hidden="1" customWidth="1"/>
    <col min="6" max="6" width="9.6640625" style="1"/>
    <col min="7" max="7" width="11.21875" style="1" bestFit="1" customWidth="1"/>
    <col min="8" max="16384" width="9.6640625" style="1"/>
  </cols>
  <sheetData>
    <row r="1" spans="1:15" ht="21.95" customHeight="1">
      <c r="A1" s="258">
        <v>43830</v>
      </c>
      <c r="B1" s="258"/>
      <c r="C1" s="5"/>
      <c r="E1" s="3" t="s">
        <v>10</v>
      </c>
      <c r="F1" s="4"/>
      <c r="G1" s="155"/>
      <c r="H1" s="4"/>
      <c r="I1" s="4"/>
      <c r="J1" s="4"/>
      <c r="K1" s="4"/>
      <c r="L1" s="4"/>
      <c r="M1" s="4"/>
      <c r="N1" s="4"/>
      <c r="O1" s="4"/>
    </row>
    <row r="2" spans="1:15" ht="21.95" customHeight="1">
      <c r="A2" s="5"/>
      <c r="B2" s="5"/>
      <c r="C2" s="5"/>
      <c r="D2" s="5"/>
      <c r="E2" s="2"/>
      <c r="F2" s="4"/>
      <c r="G2" s="4"/>
      <c r="H2" s="4"/>
      <c r="I2" s="4"/>
      <c r="J2" s="4"/>
      <c r="K2" s="4"/>
      <c r="L2" s="4"/>
      <c r="M2" s="4"/>
      <c r="N2" s="4"/>
      <c r="O2" s="4"/>
    </row>
    <row r="3" spans="1:15" ht="21.95" customHeight="1">
      <c r="A3" s="6" t="s">
        <v>128</v>
      </c>
      <c r="B3" s="5"/>
      <c r="C3" s="5"/>
      <c r="D3" s="5"/>
      <c r="E3" s="2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21.95" hidden="1" customHeight="1">
      <c r="A4" s="5" t="s">
        <v>125</v>
      </c>
      <c r="B4" s="5"/>
      <c r="C4" s="5"/>
      <c r="D4" s="5"/>
      <c r="E4" s="2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21.95" customHeight="1">
      <c r="A5" s="5" t="s">
        <v>155</v>
      </c>
      <c r="B5" s="5"/>
      <c r="C5" s="5"/>
      <c r="D5" s="5"/>
      <c r="E5" s="2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21.95" customHeight="1">
      <c r="A6" s="5" t="s">
        <v>156</v>
      </c>
      <c r="B6" s="5"/>
      <c r="C6" s="5"/>
      <c r="D6" s="5"/>
      <c r="E6" s="2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s="154" customFormat="1" ht="16.899999999999999" customHeight="1">
      <c r="A7" s="149"/>
      <c r="B7" s="149"/>
      <c r="C7" s="149"/>
      <c r="D7" s="149" t="s">
        <v>40</v>
      </c>
      <c r="E7" s="149"/>
      <c r="F7" s="153"/>
      <c r="G7" s="153"/>
      <c r="H7" s="153"/>
      <c r="I7" s="153"/>
      <c r="J7" s="153"/>
      <c r="K7" s="153"/>
      <c r="L7" s="153"/>
      <c r="M7" s="153"/>
      <c r="N7" s="153"/>
      <c r="O7" s="153"/>
    </row>
    <row r="8" spans="1:15" s="154" customFormat="1" ht="16.899999999999999" customHeight="1">
      <c r="A8" s="149"/>
      <c r="B8" s="149"/>
      <c r="C8" s="149"/>
      <c r="D8" s="149" t="str">
        <f>Reserves!L8</f>
        <v>FUNDING</v>
      </c>
      <c r="E8" s="149" t="s">
        <v>114</v>
      </c>
      <c r="F8" s="153"/>
      <c r="G8" s="153"/>
      <c r="H8" s="153"/>
      <c r="I8" s="153"/>
      <c r="J8" s="153"/>
      <c r="K8" s="153"/>
      <c r="L8" s="153"/>
      <c r="M8" s="153"/>
      <c r="N8" s="153"/>
      <c r="O8" s="153"/>
    </row>
    <row r="9" spans="1:15" s="154" customFormat="1" ht="16.899999999999999" customHeight="1">
      <c r="A9" s="149"/>
      <c r="B9" s="149"/>
      <c r="C9" s="149"/>
      <c r="D9" s="150">
        <f>PF</f>
        <v>1</v>
      </c>
      <c r="E9" s="166" t="s">
        <v>5</v>
      </c>
      <c r="F9" s="165"/>
      <c r="G9" s="153"/>
      <c r="H9" s="153"/>
      <c r="I9" s="153"/>
      <c r="J9" s="153"/>
      <c r="K9" s="153"/>
      <c r="L9" s="153"/>
      <c r="M9" s="153"/>
      <c r="N9" s="153"/>
      <c r="O9" s="153"/>
    </row>
    <row r="10" spans="1:15" ht="18" customHeight="1">
      <c r="A10" s="8"/>
      <c r="B10" s="9"/>
      <c r="C10" s="200">
        <v>2019</v>
      </c>
      <c r="D10" s="180">
        <f>C10+1</f>
        <v>2020</v>
      </c>
      <c r="E10" s="209">
        <f>C10+1</f>
        <v>2020</v>
      </c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21.95" customHeight="1">
      <c r="A11" s="10"/>
      <c r="B11" s="11"/>
      <c r="C11" s="219" t="s">
        <v>8</v>
      </c>
      <c r="D11" s="220" t="s">
        <v>118</v>
      </c>
      <c r="E11" s="171" t="s">
        <v>118</v>
      </c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21.95" customHeight="1">
      <c r="A12" s="218" t="s">
        <v>0</v>
      </c>
      <c r="B12" s="11"/>
      <c r="C12" s="221" t="s">
        <v>9</v>
      </c>
      <c r="D12" s="222" t="s">
        <v>9</v>
      </c>
      <c r="E12" s="172" t="s">
        <v>9</v>
      </c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21.95" customHeight="1">
      <c r="A13" s="53">
        <v>5010</v>
      </c>
      <c r="B13" s="53" t="s">
        <v>3</v>
      </c>
      <c r="C13" s="206">
        <v>102408</v>
      </c>
      <c r="D13" s="161">
        <f>D22-D14-D15</f>
        <v>112945.24114999999</v>
      </c>
      <c r="E13" s="173" t="e">
        <f>E22-E14-#REF!-E15</f>
        <v>#REF!</v>
      </c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21.95" customHeight="1">
      <c r="A14" s="53">
        <v>5030</v>
      </c>
      <c r="B14" s="53" t="s">
        <v>4</v>
      </c>
      <c r="C14" s="40">
        <v>0</v>
      </c>
      <c r="D14" s="163">
        <v>0</v>
      </c>
      <c r="E14" s="174">
        <v>0</v>
      </c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ht="21.95" customHeight="1" thickBot="1">
      <c r="A15" s="53">
        <v>5050</v>
      </c>
      <c r="B15" s="168" t="s">
        <v>171</v>
      </c>
      <c r="C15" s="40">
        <v>0</v>
      </c>
      <c r="D15" s="163">
        <v>0</v>
      </c>
      <c r="E15" s="174">
        <v>0</v>
      </c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21.95" customHeight="1">
      <c r="A16" s="53"/>
      <c r="B16" s="208" t="s">
        <v>101</v>
      </c>
      <c r="C16" s="164">
        <f>SUM(C13:C15)</f>
        <v>102408</v>
      </c>
      <c r="D16" s="164">
        <f>SUM(D13:D15)</f>
        <v>112945.24114999999</v>
      </c>
      <c r="E16" s="175" t="e">
        <f>SUM(E13:E15)</f>
        <v>#REF!</v>
      </c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21.95" customHeight="1" thickBot="1">
      <c r="A17" s="53"/>
      <c r="B17" s="168" t="s">
        <v>5</v>
      </c>
      <c r="C17" s="40">
        <v>31314</v>
      </c>
      <c r="D17" s="176">
        <f>Reserves!L21</f>
        <v>31957.232807692304</v>
      </c>
      <c r="E17" s="174">
        <f>Reserves!M21</f>
        <v>0</v>
      </c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21.95" customHeight="1" thickBot="1">
      <c r="A18" s="53"/>
      <c r="B18" s="208" t="s">
        <v>18</v>
      </c>
      <c r="C18" s="207">
        <f>C16+C17</f>
        <v>133722</v>
      </c>
      <c r="D18" s="42">
        <f>D16+D17</f>
        <v>144902.4739576923</v>
      </c>
      <c r="E18" s="162" t="e">
        <f>E16+E17</f>
        <v>#REF!</v>
      </c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21.95" customHeight="1" thickTop="1">
      <c r="A19" s="2"/>
      <c r="B19" s="2"/>
      <c r="C19" s="43"/>
      <c r="D19" s="43"/>
      <c r="E19" s="43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21.95" customHeight="1">
      <c r="A20" s="2"/>
      <c r="B20" s="2"/>
      <c r="C20" s="2"/>
      <c r="D20" s="2"/>
      <c r="E20" s="2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21.95" customHeight="1">
      <c r="A21" s="217" t="s">
        <v>1</v>
      </c>
      <c r="B21" s="214"/>
      <c r="C21" s="215"/>
      <c r="D21" s="216"/>
      <c r="E21" s="160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21.95" customHeight="1">
      <c r="A22" s="212"/>
      <c r="B22" s="167" t="s">
        <v>6</v>
      </c>
      <c r="C22" s="213">
        <f>+C16</f>
        <v>102408</v>
      </c>
      <c r="D22" s="213">
        <f>CYEX</f>
        <v>112945.24114999999</v>
      </c>
      <c r="E22" s="173">
        <f>CYEX</f>
        <v>112945.24114999999</v>
      </c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21.95" customHeight="1" thickBot="1">
      <c r="A23" s="14"/>
      <c r="B23" s="168" t="s">
        <v>5</v>
      </c>
      <c r="C23" s="206">
        <f>C17</f>
        <v>31314</v>
      </c>
      <c r="D23" s="161">
        <f>D17</f>
        <v>31957.232807692304</v>
      </c>
      <c r="E23" s="173">
        <f>E17</f>
        <v>0</v>
      </c>
      <c r="F23" s="4"/>
      <c r="G23" s="4"/>
      <c r="H23" s="4"/>
      <c r="I23" s="4"/>
      <c r="J23" s="4"/>
      <c r="K23" s="4"/>
    </row>
    <row r="24" spans="1:15" ht="21.95" customHeight="1" thickBot="1">
      <c r="A24" s="14"/>
      <c r="B24" s="208" t="s">
        <v>18</v>
      </c>
      <c r="C24" s="207">
        <f>SUM(C22:C23)</f>
        <v>133722</v>
      </c>
      <c r="D24" s="162">
        <f>SUM(D22:D23)</f>
        <v>144902.4739576923</v>
      </c>
      <c r="E24" s="177">
        <f>SUM(E22:E23)</f>
        <v>112945.24114999999</v>
      </c>
      <c r="F24" s="4"/>
      <c r="G24" s="4"/>
      <c r="H24" s="4"/>
      <c r="I24" s="4"/>
      <c r="J24" s="4"/>
      <c r="K24" s="4"/>
    </row>
    <row r="25" spans="1:15" ht="21.95" customHeight="1" thickTop="1">
      <c r="A25" s="14"/>
      <c r="B25" s="15"/>
      <c r="C25" s="43"/>
      <c r="D25" s="43"/>
      <c r="E25" s="43"/>
      <c r="F25" s="4"/>
      <c r="G25" s="4"/>
      <c r="H25" s="4"/>
      <c r="I25" s="4"/>
      <c r="J25" s="4"/>
      <c r="K25" s="4"/>
    </row>
    <row r="26" spans="1:15" ht="21.95" customHeight="1">
      <c r="A26" s="14"/>
      <c r="B26" s="15"/>
      <c r="C26" s="2"/>
      <c r="D26" s="2"/>
      <c r="E26" s="2"/>
      <c r="F26" s="4"/>
      <c r="G26" s="4"/>
      <c r="H26" s="4"/>
      <c r="I26" s="4"/>
      <c r="J26" s="4"/>
      <c r="K26" s="4"/>
    </row>
    <row r="27" spans="1:15" ht="21.95" customHeight="1">
      <c r="A27" s="2"/>
      <c r="B27" s="2"/>
      <c r="C27" s="2"/>
      <c r="D27" s="2"/>
      <c r="E27" s="2"/>
      <c r="F27" s="4"/>
      <c r="G27" s="4"/>
      <c r="H27" s="4"/>
      <c r="I27" s="4"/>
      <c r="J27" s="4"/>
      <c r="K27" s="4"/>
    </row>
    <row r="28" spans="1:15" ht="21.95" customHeight="1">
      <c r="A28" s="223" t="s">
        <v>115</v>
      </c>
      <c r="B28" s="16"/>
      <c r="C28" s="16"/>
      <c r="D28" s="160"/>
      <c r="E28" s="160"/>
      <c r="F28" s="4"/>
      <c r="G28" s="4"/>
      <c r="H28" s="4"/>
      <c r="I28" s="4"/>
      <c r="J28" s="4"/>
      <c r="K28" s="4"/>
    </row>
    <row r="29" spans="1:15" ht="23.45" customHeight="1">
      <c r="A29" s="12"/>
      <c r="B29" s="137" t="s">
        <v>102</v>
      </c>
      <c r="C29" s="241">
        <v>534</v>
      </c>
      <c r="D29" s="161">
        <f>ROUNDUP(D13/NUN/FREQ,0)</f>
        <v>589</v>
      </c>
      <c r="E29" s="178" t="e">
        <f>E13/NUN/FREQ</f>
        <v>#REF!</v>
      </c>
      <c r="F29" s="4"/>
      <c r="G29" s="4"/>
      <c r="H29" s="4"/>
      <c r="I29" s="4"/>
      <c r="J29" s="4"/>
      <c r="K29" s="4"/>
    </row>
    <row r="30" spans="1:15" ht="22.35" customHeight="1" thickBot="1">
      <c r="A30" s="2"/>
      <c r="B30" s="138" t="s">
        <v>103</v>
      </c>
      <c r="C30" s="241">
        <v>164</v>
      </c>
      <c r="D30" s="161">
        <f>ROUND(D17/NUN/FREQ,0)</f>
        <v>166</v>
      </c>
      <c r="E30" s="178">
        <f>E17/NUN/FREQ</f>
        <v>0</v>
      </c>
      <c r="F30" s="2" t="s">
        <v>48</v>
      </c>
      <c r="G30" s="4"/>
      <c r="H30" s="4"/>
      <c r="I30" s="4"/>
      <c r="J30" s="4"/>
      <c r="K30" s="4"/>
    </row>
    <row r="31" spans="1:15" ht="21.95" customHeight="1" thickBot="1">
      <c r="A31" s="2"/>
      <c r="B31" s="169" t="s">
        <v>116</v>
      </c>
      <c r="C31" s="242">
        <f>SUM(C29:C30)</f>
        <v>698</v>
      </c>
      <c r="D31" s="162">
        <f>SUM(D29:D30)</f>
        <v>755</v>
      </c>
      <c r="E31" s="179" t="e">
        <f>SUM(E29:E30)</f>
        <v>#REF!</v>
      </c>
      <c r="F31" s="2" t="s">
        <v>48</v>
      </c>
      <c r="G31" s="257"/>
      <c r="H31" s="20"/>
      <c r="I31" s="20"/>
      <c r="J31" s="4"/>
      <c r="K31" s="4"/>
    </row>
    <row r="32" spans="1:15" ht="21.95" customHeight="1" thickTop="1">
      <c r="A32" s="2"/>
      <c r="B32" s="2" t="s">
        <v>145</v>
      </c>
      <c r="C32" s="44"/>
      <c r="D32" s="44"/>
      <c r="E32" s="2"/>
      <c r="F32" s="4"/>
      <c r="G32" s="4"/>
      <c r="H32" s="4"/>
      <c r="I32" s="4"/>
      <c r="J32" s="4"/>
      <c r="K32" s="4"/>
    </row>
    <row r="33" spans="1:15" ht="21.95" customHeight="1">
      <c r="A33" s="2"/>
      <c r="B33" s="2"/>
      <c r="C33" s="2"/>
      <c r="D33" s="2"/>
      <c r="E33" s="2"/>
      <c r="F33" s="4"/>
      <c r="G33" s="4"/>
      <c r="H33" s="4"/>
      <c r="I33" s="4"/>
      <c r="J33" s="4"/>
      <c r="K33" s="4"/>
    </row>
    <row r="34" spans="1:15" ht="21.95" customHeight="1">
      <c r="B34" s="2" t="s">
        <v>2</v>
      </c>
      <c r="D34" s="2">
        <v>48</v>
      </c>
      <c r="E34" s="2"/>
      <c r="F34" s="4"/>
      <c r="G34" s="4"/>
      <c r="H34" s="4"/>
      <c r="I34" s="4"/>
      <c r="J34" s="4"/>
      <c r="K34" s="4"/>
    </row>
    <row r="35" spans="1:15" ht="21.95" customHeight="1">
      <c r="A35" s="2"/>
      <c r="B35" s="2" t="s">
        <v>104</v>
      </c>
      <c r="D35" s="2">
        <v>4</v>
      </c>
      <c r="E35" s="2"/>
      <c r="F35" s="4"/>
      <c r="G35" s="4"/>
      <c r="H35" s="4"/>
      <c r="I35" s="4"/>
      <c r="J35" s="4"/>
      <c r="K35" s="4"/>
    </row>
    <row r="36" spans="1:15" ht="21.95" customHeight="1">
      <c r="A36" s="2"/>
      <c r="B36" s="2"/>
      <c r="C36" s="2"/>
      <c r="D36" s="2"/>
      <c r="E36" s="2"/>
      <c r="F36" s="4"/>
      <c r="G36" s="4"/>
      <c r="H36" s="4"/>
      <c r="I36" s="4"/>
      <c r="J36" s="4"/>
      <c r="K36" s="4"/>
    </row>
    <row r="37" spans="1:15" ht="21.95" customHeight="1">
      <c r="A37" s="2"/>
      <c r="B37" s="2"/>
      <c r="C37" s="2"/>
      <c r="D37" s="2"/>
      <c r="F37" s="4"/>
      <c r="G37" s="4"/>
      <c r="H37" s="4"/>
      <c r="I37" s="4"/>
      <c r="J37" s="4"/>
      <c r="K37" s="4"/>
    </row>
    <row r="38" spans="1:15" ht="30" customHeight="1">
      <c r="A38" s="2"/>
      <c r="B38" s="2"/>
      <c r="C38" s="2"/>
      <c r="D38" s="2"/>
      <c r="E38" s="2"/>
      <c r="F38" s="4"/>
      <c r="G38" s="4"/>
      <c r="H38" s="4"/>
      <c r="I38" s="4"/>
      <c r="J38" s="4"/>
      <c r="K38" s="4"/>
    </row>
    <row r="39" spans="1:15" ht="15.95" customHeight="1">
      <c r="A39" s="2"/>
      <c r="B39" s="2"/>
      <c r="C39" s="2"/>
      <c r="D39" s="2"/>
      <c r="E39" s="2"/>
      <c r="F39" s="4"/>
      <c r="G39" s="4"/>
      <c r="H39" s="4"/>
      <c r="I39" s="4"/>
      <c r="J39" s="4"/>
      <c r="K39" s="4"/>
    </row>
    <row r="40" spans="1:15" ht="15" customHeight="1">
      <c r="A40" s="2"/>
      <c r="B40" s="2"/>
      <c r="C40" s="2"/>
      <c r="D40" s="2" t="s">
        <v>48</v>
      </c>
      <c r="E40" s="170" t="e">
        <f>ROUNDUP(E29,0)*NUN*FREQ-E13</f>
        <v>#REF!</v>
      </c>
      <c r="F40" s="4"/>
      <c r="G40" s="4"/>
      <c r="H40" s="4"/>
      <c r="I40" s="4"/>
      <c r="J40" s="4"/>
      <c r="K40" s="4"/>
    </row>
    <row r="41" spans="1:15" ht="17.25">
      <c r="A41" s="2"/>
      <c r="B41" s="2"/>
      <c r="C41" s="2"/>
      <c r="D41" s="2"/>
      <c r="E41" s="2"/>
      <c r="F41" s="4"/>
      <c r="G41" s="4"/>
      <c r="H41" s="4"/>
      <c r="I41" s="4"/>
      <c r="J41" s="4"/>
      <c r="K41" s="4"/>
    </row>
    <row r="42" spans="1:15" ht="17.25">
      <c r="A42" s="2"/>
      <c r="B42" s="2"/>
      <c r="C42" s="17"/>
      <c r="D42" s="17"/>
      <c r="E42" s="2"/>
      <c r="F42" s="4"/>
      <c r="G42" s="4"/>
      <c r="H42" s="4"/>
      <c r="I42" s="4"/>
      <c r="J42" s="4"/>
      <c r="K42" s="4"/>
    </row>
    <row r="43" spans="1:15" ht="17.25">
      <c r="A43" s="2"/>
      <c r="B43" s="2"/>
      <c r="C43" s="17"/>
      <c r="D43" s="17"/>
      <c r="E43" s="2"/>
      <c r="F43" s="4"/>
      <c r="G43" s="4"/>
      <c r="H43" s="4"/>
      <c r="I43" s="4"/>
      <c r="J43" s="4"/>
      <c r="K43" s="4"/>
      <c r="L43" s="4"/>
      <c r="M43" s="4"/>
      <c r="N43" s="4"/>
      <c r="O43" s="4"/>
    </row>
    <row r="44" spans="1:15" ht="17.25">
      <c r="A44" s="2"/>
      <c r="B44" s="2"/>
      <c r="C44" s="17"/>
      <c r="D44" s="17"/>
      <c r="E44" s="2"/>
      <c r="F44" s="4"/>
      <c r="G44" s="4"/>
      <c r="H44" s="4"/>
      <c r="I44" s="4"/>
      <c r="J44" s="4"/>
      <c r="K44" s="4"/>
      <c r="L44" s="4"/>
      <c r="M44" s="4"/>
      <c r="N44" s="4"/>
      <c r="O44" s="4"/>
    </row>
    <row r="45" spans="1:15" ht="17.25">
      <c r="A45" s="2"/>
      <c r="B45" s="2"/>
      <c r="C45" s="17"/>
      <c r="D45" s="17"/>
      <c r="E45" s="2"/>
      <c r="F45" s="4"/>
      <c r="G45" s="4"/>
      <c r="H45" s="4"/>
      <c r="I45" s="4"/>
      <c r="J45" s="4"/>
      <c r="K45" s="4"/>
      <c r="L45" s="4"/>
      <c r="M45" s="4"/>
      <c r="N45" s="4"/>
      <c r="O45" s="4"/>
    </row>
    <row r="46" spans="1:15" ht="17.25">
      <c r="A46" s="4"/>
      <c r="B46" s="4"/>
      <c r="C46" s="4"/>
      <c r="D46" s="4"/>
      <c r="E46" s="2"/>
      <c r="F46" s="4"/>
      <c r="G46" s="4"/>
      <c r="H46" s="4"/>
      <c r="I46" s="4"/>
      <c r="J46" s="4"/>
      <c r="K46" s="4"/>
      <c r="L46" s="4"/>
      <c r="M46" s="4"/>
      <c r="N46" s="4"/>
      <c r="O46" s="4"/>
    </row>
    <row r="47" spans="1:15" ht="17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  <row r="48" spans="1:15" ht="17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</row>
    <row r="49" spans="1:15" ht="17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</row>
    <row r="50" spans="1:15" ht="17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</row>
    <row r="51" spans="1:15" ht="17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</row>
    <row r="52" spans="1:15" ht="17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</row>
    <row r="53" spans="1:15" ht="17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ht="17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</row>
    <row r="55" spans="1:15" ht="17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</row>
    <row r="56" spans="1:15" ht="17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</row>
    <row r="57" spans="1:15" ht="17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</row>
    <row r="58" spans="1:15" ht="17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1:15" ht="17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</row>
    <row r="60" spans="1:15" ht="17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</row>
    <row r="61" spans="1:15" ht="17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</row>
    <row r="62" spans="1:15" ht="17.25">
      <c r="A62" s="4"/>
      <c r="B62" s="4" t="e">
        <f ca="1">CELL("filename",DATE)</f>
        <v>#REF!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</row>
    <row r="63" spans="1:15" ht="17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</row>
    <row r="64" spans="1:15" ht="17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</row>
    <row r="65" spans="1:15" ht="17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</row>
    <row r="66" spans="1:15" ht="17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</row>
    <row r="67" spans="1:15" ht="17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</row>
    <row r="68" spans="1:15" ht="17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</row>
    <row r="69" spans="1:15" ht="17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</row>
    <row r="70" spans="1:15" ht="17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</row>
    <row r="71" spans="1:15" ht="17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</row>
    <row r="72" spans="1:15" ht="17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</row>
    <row r="73" spans="1:15" ht="17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</row>
    <row r="74" spans="1:15" ht="17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</row>
    <row r="75" spans="1:15" ht="17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</row>
    <row r="76" spans="1:15" ht="17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15" ht="17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</row>
    <row r="78" spans="1:15" ht="17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</row>
    <row r="79" spans="1:15" ht="17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</row>
    <row r="80" spans="1:15" ht="17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</row>
    <row r="81" spans="1:15" ht="17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</row>
    <row r="82" spans="1:15" ht="17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</row>
    <row r="83" spans="1:15" ht="17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</row>
    <row r="84" spans="1:15" ht="17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</row>
    <row r="85" spans="1:15" ht="17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</row>
    <row r="86" spans="1:15" ht="17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</row>
    <row r="87" spans="1:15" ht="17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</row>
    <row r="88" spans="1:15" ht="17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</row>
    <row r="89" spans="1:15" ht="17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</row>
    <row r="90" spans="1:15" ht="17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</row>
    <row r="91" spans="1:15" ht="17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</row>
    <row r="92" spans="1:15" ht="17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</row>
    <row r="93" spans="1:15" ht="17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</row>
    <row r="94" spans="1:15" ht="17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</row>
    <row r="95" spans="1:15" ht="17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</row>
    <row r="96" spans="1:15" ht="17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</row>
    <row r="97" spans="1:15" ht="17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</row>
    <row r="98" spans="1:15" ht="17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</row>
    <row r="99" spans="1:15" ht="17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</row>
    <row r="100" spans="1:15" ht="17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</row>
    <row r="101" spans="1:15" ht="17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</row>
    <row r="102" spans="1:15" ht="17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</row>
    <row r="103" spans="1:15" ht="17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</row>
    <row r="104" spans="1:15" ht="17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</row>
    <row r="105" spans="1:15" ht="17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</row>
    <row r="106" spans="1:15" ht="17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</row>
    <row r="107" spans="1:15" ht="17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</row>
    <row r="108" spans="1:15" ht="17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</row>
    <row r="109" spans="1:15" ht="17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</row>
    <row r="110" spans="1:15" ht="17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</row>
    <row r="111" spans="1:15" ht="17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</row>
    <row r="112" spans="1:15" ht="17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</row>
    <row r="113" spans="5:15" ht="17.25"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</row>
  </sheetData>
  <mergeCells count="1">
    <mergeCell ref="A1:B1"/>
  </mergeCells>
  <phoneticPr fontId="0" type="noConversion"/>
  <printOptions horizontalCentered="1"/>
  <pageMargins left="1" right="0.5" top="0.5" bottom="0.56000000000000005" header="0" footer="0.28999999999999998"/>
  <pageSetup scale="96" orientation="portrait" r:id="rId1"/>
  <headerFooter alignWithMargins="0">
    <oddFooter>&amp;LPrinted on &amp;D at &amp;T&amp;R&amp;F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AE90"/>
  <sheetViews>
    <sheetView showOutlineSymbols="0" topLeftCell="A14" zoomScale="130" zoomScaleNormal="130" workbookViewId="0">
      <selection activeCell="A28" sqref="A28"/>
    </sheetView>
  </sheetViews>
  <sheetFormatPr defaultColWidth="9.6640625" defaultRowHeight="15"/>
  <cols>
    <col min="1" max="1" width="8.77734375" style="1" customWidth="1"/>
    <col min="2" max="2" width="51.88671875" style="1" customWidth="1"/>
    <col min="3" max="3" width="12.109375" style="1" customWidth="1"/>
    <col min="4" max="4" width="13.21875" style="1" customWidth="1"/>
    <col min="5" max="5" width="12.77734375" style="198" customWidth="1"/>
    <col min="6" max="6" width="3.6640625" style="1" customWidth="1"/>
    <col min="7" max="16384" width="9.6640625" style="1"/>
  </cols>
  <sheetData>
    <row r="1" spans="1:31" ht="21.95" customHeight="1">
      <c r="A1" s="258">
        <f>Summary!A1</f>
        <v>43830</v>
      </c>
      <c r="B1" s="258"/>
      <c r="C1" s="2"/>
      <c r="D1" s="2"/>
      <c r="E1" s="192" t="s">
        <v>13</v>
      </c>
      <c r="F1" s="2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spans="1:31" ht="21.95" customHeight="1">
      <c r="A2" s="5"/>
      <c r="B2" s="5"/>
      <c r="C2" s="5"/>
      <c r="D2" s="5"/>
      <c r="E2" s="22"/>
      <c r="F2" s="2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spans="1:31" ht="21.95" customHeight="1">
      <c r="A3" s="6" t="str">
        <f>Summary!A3</f>
        <v>ORCHID COVE CONDOMINIUM ASSN, INC.</v>
      </c>
      <c r="B3" s="5"/>
      <c r="C3" s="5"/>
      <c r="D3" s="5"/>
      <c r="E3" s="22"/>
      <c r="F3" s="2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</row>
    <row r="4" spans="1:31" ht="21.95" hidden="1" customHeight="1">
      <c r="A4" s="5" t="str">
        <f>Summary!A4</f>
        <v>2016 ESTIMATED EXPENSES AND APPROVED BUDGET</v>
      </c>
      <c r="B4" s="5"/>
      <c r="C4" s="5"/>
      <c r="D4" s="5"/>
      <c r="E4" s="22"/>
      <c r="F4" s="2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</row>
    <row r="5" spans="1:31" ht="21.95" customHeight="1">
      <c r="A5" s="5" t="str">
        <f>Summary!A5</f>
        <v>PROPOSED BUDGET FOR THE PERIOD</v>
      </c>
      <c r="B5" s="5"/>
      <c r="C5" s="5"/>
      <c r="D5" s="5"/>
      <c r="E5" s="22"/>
      <c r="F5" s="2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</row>
    <row r="6" spans="1:31" ht="21.95" customHeight="1">
      <c r="A6" s="5" t="str">
        <f>Summary!A6</f>
        <v>JANUARY 1, 2020 to DECEMBER 31, 2020</v>
      </c>
      <c r="B6" s="5"/>
      <c r="C6" s="5"/>
      <c r="D6" s="5"/>
      <c r="E6" s="22"/>
      <c r="F6" s="2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1.95" customHeight="1">
      <c r="A7" s="2"/>
      <c r="B7" s="2"/>
      <c r="C7" s="2"/>
      <c r="D7" s="2"/>
      <c r="E7" s="18"/>
      <c r="F7" s="2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1:31" ht="16.149999999999999" customHeight="1">
      <c r="A8" s="8"/>
      <c r="B8" s="9"/>
      <c r="C8" s="259">
        <f>Summary!C10</f>
        <v>2019</v>
      </c>
      <c r="D8" s="260"/>
      <c r="E8" s="205">
        <f>Summary!D10</f>
        <v>2020</v>
      </c>
      <c r="F8" s="7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</row>
    <row r="9" spans="1:31" ht="21.95" customHeight="1">
      <c r="A9" s="10"/>
      <c r="B9" s="11"/>
      <c r="C9" s="224" t="s">
        <v>7</v>
      </c>
      <c r="D9" s="224" t="s">
        <v>8</v>
      </c>
      <c r="E9" s="225" t="str">
        <f>Summary!D11</f>
        <v>PROPOSED</v>
      </c>
      <c r="F9" s="7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</row>
    <row r="10" spans="1:31" ht="21.95" customHeight="1">
      <c r="A10" s="218" t="s">
        <v>11</v>
      </c>
      <c r="B10" s="11"/>
      <c r="C10" s="221" t="s">
        <v>167</v>
      </c>
      <c r="D10" s="221" t="s">
        <v>9</v>
      </c>
      <c r="E10" s="226" t="s">
        <v>9</v>
      </c>
      <c r="F10" s="7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</row>
    <row r="11" spans="1:31" ht="15.6" customHeight="1">
      <c r="A11" s="139"/>
      <c r="B11" s="140"/>
      <c r="C11" s="140"/>
      <c r="D11" s="140"/>
      <c r="E11" s="193"/>
      <c r="F11" s="43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</row>
    <row r="12" spans="1:31" ht="21.95" customHeight="1">
      <c r="A12" s="158">
        <v>7010</v>
      </c>
      <c r="B12" s="245" t="s">
        <v>139</v>
      </c>
      <c r="C12" s="194">
        <f>+WORKSHEET!E15</f>
        <v>1622.52</v>
      </c>
      <c r="D12" s="194">
        <v>1200</v>
      </c>
      <c r="E12" s="194">
        <f>+WORKSHEET!H15</f>
        <v>1600.1956</v>
      </c>
      <c r="F12" s="43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</row>
    <row r="13" spans="1:31" ht="21.95" customHeight="1">
      <c r="A13" s="243">
        <v>7020</v>
      </c>
      <c r="B13" s="244" t="s">
        <v>135</v>
      </c>
      <c r="C13" s="194">
        <f>+WORKSHEET!E16</f>
        <v>3550.5</v>
      </c>
      <c r="D13" s="194">
        <v>3000</v>
      </c>
      <c r="E13" s="194">
        <f>+WORKSHEET!H16</f>
        <v>4000</v>
      </c>
      <c r="F13" s="43"/>
      <c r="G13" t="s">
        <v>157</v>
      </c>
      <c r="H13"/>
      <c r="I13"/>
      <c r="J13"/>
      <c r="K13"/>
      <c r="L13"/>
      <c r="M13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</row>
    <row r="14" spans="1:31" ht="21.95" customHeight="1">
      <c r="A14" s="19">
        <v>7050</v>
      </c>
      <c r="B14" s="19" t="s">
        <v>140</v>
      </c>
      <c r="C14" s="194">
        <f>+WORKSHEET!E17</f>
        <v>4762.1849999999995</v>
      </c>
      <c r="D14" s="195">
        <v>2600</v>
      </c>
      <c r="E14" s="194">
        <f>+WORKSHEET!H17</f>
        <v>3500.0505499999999</v>
      </c>
      <c r="F14" s="43"/>
      <c r="G14" t="s">
        <v>159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</row>
    <row r="15" spans="1:31" ht="21.95" customHeight="1">
      <c r="A15" s="19">
        <v>7140</v>
      </c>
      <c r="B15" s="19" t="str">
        <f>WORKSHEET!B18</f>
        <v>FIRE SPRINKLER ALARM / EXTINGUISHERS</v>
      </c>
      <c r="C15" s="194">
        <f>+WORKSHEET!E18</f>
        <v>6484.5</v>
      </c>
      <c r="D15" s="195">
        <v>1000</v>
      </c>
      <c r="E15" s="194">
        <f>+WORKSHEET!H18</f>
        <v>1500</v>
      </c>
      <c r="F15" s="43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</row>
    <row r="16" spans="1:31" ht="21.95" customHeight="1">
      <c r="A16" s="19">
        <v>7150</v>
      </c>
      <c r="B16" s="19" t="s">
        <v>12</v>
      </c>
      <c r="C16" s="194">
        <f>+WORKSHEET!E19</f>
        <v>18669.074999999997</v>
      </c>
      <c r="D16" s="195">
        <v>19500</v>
      </c>
      <c r="E16" s="194">
        <f>+WORKSHEET!H19</f>
        <v>21500</v>
      </c>
      <c r="F16" s="43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</row>
    <row r="17" spans="1:31" ht="21.95" customHeight="1">
      <c r="A17" s="19">
        <v>7210</v>
      </c>
      <c r="B17" s="19" t="s">
        <v>112</v>
      </c>
      <c r="C17" s="194">
        <f>+WORKSHEET!E20</f>
        <v>1350</v>
      </c>
      <c r="D17" s="195">
        <v>1500</v>
      </c>
      <c r="E17" s="194">
        <f>+WORKSHEET!H20</f>
        <v>1500</v>
      </c>
      <c r="F17" s="43"/>
      <c r="G17" t="s">
        <v>160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</row>
    <row r="18" spans="1:31" ht="21.95" customHeight="1">
      <c r="A18" s="19">
        <v>7225</v>
      </c>
      <c r="B18" s="19" t="s">
        <v>134</v>
      </c>
      <c r="C18" s="194">
        <f>+WORKSHEET!E21</f>
        <v>0</v>
      </c>
      <c r="D18" s="195">
        <v>6075</v>
      </c>
      <c r="E18" s="194">
        <f>+WORKSHEET!H21</f>
        <v>5000</v>
      </c>
      <c r="F18" s="43"/>
      <c r="G18" s="248" t="s">
        <v>146</v>
      </c>
      <c r="H18"/>
      <c r="I18"/>
      <c r="J18"/>
      <c r="K18"/>
      <c r="L18" t="s">
        <v>158</v>
      </c>
      <c r="M18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</row>
    <row r="19" spans="1:31" ht="21.95" customHeight="1">
      <c r="A19" s="19">
        <v>7240</v>
      </c>
      <c r="B19" s="19" t="s">
        <v>148</v>
      </c>
      <c r="C19" s="194">
        <f>+WORKSHEET!E22</f>
        <v>20175</v>
      </c>
      <c r="D19" s="195">
        <v>20275</v>
      </c>
      <c r="E19" s="194">
        <f>+WORKSHEET!H22</f>
        <v>22499.5</v>
      </c>
      <c r="F19" s="43"/>
      <c r="G19" t="s">
        <v>168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 ht="21.95" customHeight="1">
      <c r="A20" s="19">
        <v>7245</v>
      </c>
      <c r="B20" s="19" t="s">
        <v>149</v>
      </c>
      <c r="C20" s="194">
        <f>+WORKSHEET!E23</f>
        <v>0</v>
      </c>
      <c r="D20" s="195">
        <v>4000</v>
      </c>
      <c r="E20" s="194">
        <f>+WORKSHEET!H23</f>
        <v>8000</v>
      </c>
      <c r="F20" s="43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21.95" customHeight="1">
      <c r="A21" s="19">
        <v>7255</v>
      </c>
      <c r="B21" s="19" t="s">
        <v>133</v>
      </c>
      <c r="C21" s="194">
        <f>+WORKSHEET!E24</f>
        <v>0</v>
      </c>
      <c r="D21" s="195">
        <v>4500</v>
      </c>
      <c r="E21" s="194">
        <f>+WORKSHEET!H24</f>
        <v>4500</v>
      </c>
      <c r="F21" s="43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 ht="21.95" customHeight="1">
      <c r="A22" s="19">
        <v>7270</v>
      </c>
      <c r="B22" s="19" t="s">
        <v>126</v>
      </c>
      <c r="C22" s="194">
        <f>+WORKSHEET!E25</f>
        <v>0</v>
      </c>
      <c r="D22" s="195">
        <v>2000</v>
      </c>
      <c r="E22" s="194">
        <f>+WORKSHEET!H25</f>
        <v>2000</v>
      </c>
      <c r="F22" s="43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 ht="21.95" customHeight="1">
      <c r="A23" s="19">
        <v>7280</v>
      </c>
      <c r="B23" s="19" t="s">
        <v>127</v>
      </c>
      <c r="C23" s="194">
        <f>+WORKSHEET!E26</f>
        <v>1009.2450000000001</v>
      </c>
      <c r="D23" s="195">
        <v>1000</v>
      </c>
      <c r="E23" s="194">
        <f>+WORKSHEET!H26</f>
        <v>1000.2450000000001</v>
      </c>
      <c r="F23" s="43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 ht="21.95" customHeight="1">
      <c r="A24" s="19">
        <v>7310</v>
      </c>
      <c r="B24" s="19" t="s">
        <v>150</v>
      </c>
      <c r="C24" s="194">
        <f>+WORKSHEET!E27</f>
        <v>3180</v>
      </c>
      <c r="D24" s="195">
        <v>3180</v>
      </c>
      <c r="E24" s="194">
        <f>+WORKSHEET!H27</f>
        <v>3180</v>
      </c>
      <c r="F24" s="43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31" ht="21.95" customHeight="1">
      <c r="A25" s="19">
        <v>7320</v>
      </c>
      <c r="B25" s="19" t="s">
        <v>137</v>
      </c>
      <c r="C25" s="194">
        <f>+WORKSHEET!E28</f>
        <v>0</v>
      </c>
      <c r="D25" s="195">
        <v>2500</v>
      </c>
      <c r="E25" s="194">
        <f>+WORKSHEET!H28</f>
        <v>0</v>
      </c>
      <c r="F25" s="43"/>
      <c r="G25" s="2" t="s">
        <v>161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31" ht="21.95" customHeight="1">
      <c r="A26" s="19">
        <v>7330</v>
      </c>
      <c r="B26" s="19" t="s">
        <v>136</v>
      </c>
      <c r="C26" s="194">
        <f>+WORKSHEET!E29</f>
        <v>836.11500000000001</v>
      </c>
      <c r="D26" s="195">
        <v>1500</v>
      </c>
      <c r="E26" s="194">
        <f>+WORKSHEET!H29</f>
        <v>1000</v>
      </c>
      <c r="F26" s="43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31" ht="21.95" customHeight="1">
      <c r="A27" s="19">
        <v>7340</v>
      </c>
      <c r="B27" s="19" t="s">
        <v>138</v>
      </c>
      <c r="C27" s="194">
        <f>+WORKSHEET!E30</f>
        <v>4235.43</v>
      </c>
      <c r="D27" s="195">
        <v>4000</v>
      </c>
      <c r="E27" s="194">
        <f>+WORKSHEET!H30</f>
        <v>4200</v>
      </c>
      <c r="F27" s="43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31" ht="21.95" customHeight="1">
      <c r="A28" s="19">
        <v>7350</v>
      </c>
      <c r="B28" s="19" t="s">
        <v>119</v>
      </c>
      <c r="C28" s="194">
        <f>+WORKSHEET!E31</f>
        <v>8151.4500000000007</v>
      </c>
      <c r="D28" s="195">
        <v>5800</v>
      </c>
      <c r="E28" s="194">
        <f>+WORKSHEET!H31</f>
        <v>6000</v>
      </c>
      <c r="F28" s="43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31" ht="21.95" customHeight="1">
      <c r="A29" s="19">
        <v>7395</v>
      </c>
      <c r="B29" s="19" t="s">
        <v>151</v>
      </c>
      <c r="C29" s="194">
        <f>+WORKSHEET!E32</f>
        <v>4650</v>
      </c>
      <c r="D29" s="195">
        <v>6000</v>
      </c>
      <c r="E29" s="194">
        <f>+WORKSHEET!H32</f>
        <v>6000</v>
      </c>
      <c r="F29" s="43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31" ht="21.95" customHeight="1">
      <c r="A30" s="19">
        <v>7400</v>
      </c>
      <c r="B30" s="19" t="s">
        <v>152</v>
      </c>
      <c r="C30" s="194">
        <f>+WORKSHEET!E33</f>
        <v>2287.5</v>
      </c>
      <c r="D30" s="195">
        <v>2580</v>
      </c>
      <c r="E30" s="194">
        <f>+WORKSHEET!H33</f>
        <v>2580</v>
      </c>
      <c r="F30" s="43"/>
      <c r="G30" t="s">
        <v>162</v>
      </c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1:31" ht="21.95" customHeight="1">
      <c r="A31" s="19">
        <v>7460</v>
      </c>
      <c r="B31" s="19" t="s">
        <v>141</v>
      </c>
      <c r="C31" s="194">
        <f>+WORKSHEET!E34</f>
        <v>0</v>
      </c>
      <c r="D31" s="195">
        <v>1200</v>
      </c>
      <c r="E31" s="194">
        <f>+WORKSHEET!H34</f>
        <v>3000</v>
      </c>
      <c r="F31" s="43"/>
      <c r="G31" s="253" t="s">
        <v>163</v>
      </c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1:31" ht="21.95" customHeight="1">
      <c r="A32" s="19">
        <v>7470</v>
      </c>
      <c r="B32" s="19" t="s">
        <v>124</v>
      </c>
      <c r="C32" s="194">
        <f>+WORKSHEET!E35</f>
        <v>375</v>
      </c>
      <c r="D32" s="195">
        <v>250</v>
      </c>
      <c r="E32" s="194">
        <f>+WORKSHEET!H35</f>
        <v>250</v>
      </c>
      <c r="F32" s="43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spans="1:31" ht="21.95" customHeight="1">
      <c r="A33" s="19">
        <v>7480</v>
      </c>
      <c r="B33" s="19" t="s">
        <v>111</v>
      </c>
      <c r="C33" s="194">
        <f>+WORKSHEET!E36</f>
        <v>7200</v>
      </c>
      <c r="D33" s="195">
        <v>7805</v>
      </c>
      <c r="E33" s="194">
        <f>+WORKSHEET!H36</f>
        <v>7416</v>
      </c>
      <c r="F33" s="43"/>
      <c r="G33" s="2" t="s">
        <v>169</v>
      </c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21.95" customHeight="1">
      <c r="A34" s="19">
        <v>7490</v>
      </c>
      <c r="B34" s="19" t="s">
        <v>154</v>
      </c>
      <c r="C34" s="194">
        <f>+WORKSHEET!E37</f>
        <v>2263.7550000000001</v>
      </c>
      <c r="D34" s="195">
        <v>1000</v>
      </c>
      <c r="E34" s="194">
        <f>+WORKSHEET!H37</f>
        <v>2000</v>
      </c>
      <c r="F34" s="43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pans="1:31" ht="21.95" customHeight="1">
      <c r="A35" s="19">
        <v>7495</v>
      </c>
      <c r="B35" s="19" t="s">
        <v>143</v>
      </c>
      <c r="C35" s="194">
        <f>+WORKSHEET!E38</f>
        <v>38.625</v>
      </c>
      <c r="D35" s="195">
        <v>250</v>
      </c>
      <c r="E35" s="194">
        <f>+WORKSHEET!H38</f>
        <v>336</v>
      </c>
      <c r="F35" s="43"/>
      <c r="G35" s="249" t="s">
        <v>164</v>
      </c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</row>
    <row r="36" spans="1:31" ht="21.95" customHeight="1">
      <c r="A36" s="19">
        <v>7500</v>
      </c>
      <c r="B36" s="19" t="s">
        <v>153</v>
      </c>
      <c r="C36" s="194">
        <f>+WORKSHEET!E39</f>
        <v>187.5</v>
      </c>
      <c r="D36" s="195">
        <v>185</v>
      </c>
      <c r="E36" s="194">
        <f>+WORKSHEET!H39</f>
        <v>191.25</v>
      </c>
      <c r="F36" s="43"/>
      <c r="G36" t="s">
        <v>165</v>
      </c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</row>
    <row r="37" spans="1:31" ht="21.95" customHeight="1">
      <c r="A37" s="19">
        <v>7510</v>
      </c>
      <c r="B37" s="19" t="s">
        <v>142</v>
      </c>
      <c r="C37" s="194">
        <f>+WORKSHEET!E40</f>
        <v>292.5</v>
      </c>
      <c r="D37" s="195">
        <v>195</v>
      </c>
      <c r="E37" s="194">
        <f>+WORKSHEET!H40</f>
        <v>192</v>
      </c>
      <c r="F37" s="43"/>
      <c r="G37" t="s">
        <v>166</v>
      </c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</row>
    <row r="38" spans="1:31" ht="21.95" customHeight="1">
      <c r="A38" s="19">
        <v>7999</v>
      </c>
      <c r="B38" s="19" t="s">
        <v>117</v>
      </c>
      <c r="C38" s="194">
        <f>+WORKSHEET!E41</f>
        <v>0</v>
      </c>
      <c r="D38" s="195">
        <v>0</v>
      </c>
      <c r="E38" s="194">
        <f>+WORKSHEET!H41</f>
        <v>0</v>
      </c>
      <c r="F38" s="43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</row>
    <row r="39" spans="1:31" ht="21.95" customHeight="1" thickBot="1">
      <c r="A39" s="19"/>
      <c r="B39" s="19"/>
      <c r="C39" s="141"/>
      <c r="D39" s="142"/>
      <c r="E39" s="196"/>
      <c r="F39" s="43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</row>
    <row r="40" spans="1:31" ht="21.95" customHeight="1" thickBot="1">
      <c r="A40" s="144"/>
      <c r="B40" s="145" t="s">
        <v>69</v>
      </c>
      <c r="C40" s="181">
        <f>SUM(C12:C39)</f>
        <v>91320.900000000009</v>
      </c>
      <c r="D40" s="181">
        <f>SUM(D12:D39)</f>
        <v>103095</v>
      </c>
      <c r="E40" s="199">
        <f>SUM(E12:E39)</f>
        <v>112945.24114999999</v>
      </c>
      <c r="F40" s="7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</row>
    <row r="41" spans="1:31" ht="18" thickTop="1">
      <c r="A41" s="143"/>
      <c r="B41" s="143"/>
      <c r="C41" s="4"/>
      <c r="D41" s="4"/>
      <c r="E41" s="197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</row>
    <row r="42" spans="1:31" ht="17.25">
      <c r="A42" s="4"/>
      <c r="B42" s="4"/>
      <c r="C42" s="4"/>
      <c r="D42" s="4"/>
      <c r="E42" s="197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</row>
    <row r="43" spans="1:31" ht="17.25">
      <c r="A43" s="4"/>
      <c r="B43" s="4"/>
      <c r="C43" s="20"/>
      <c r="D43" s="20"/>
      <c r="E43" s="197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</row>
    <row r="44" spans="1:31" ht="17.25">
      <c r="A44" s="4"/>
      <c r="B44" s="4"/>
      <c r="C44" s="4"/>
      <c r="D44" s="4"/>
      <c r="E44" s="197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</row>
    <row r="45" spans="1:31" ht="17.25">
      <c r="A45" s="4"/>
      <c r="B45" s="4"/>
      <c r="C45" s="4"/>
      <c r="D45" s="4"/>
      <c r="E45" s="197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</row>
    <row r="46" spans="1:31" ht="17.25">
      <c r="A46" s="4"/>
      <c r="B46" s="4"/>
      <c r="C46" s="4"/>
      <c r="D46" s="4"/>
      <c r="E46" s="197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</row>
    <row r="47" spans="1:31" ht="17.25">
      <c r="A47" s="4"/>
      <c r="B47" s="4"/>
      <c r="C47" s="4"/>
      <c r="D47" s="4"/>
      <c r="E47" s="197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</row>
    <row r="48" spans="1:31" ht="17.25">
      <c r="A48" s="4"/>
      <c r="B48" s="4"/>
      <c r="C48" s="4"/>
      <c r="D48" s="4"/>
      <c r="E48" s="197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</row>
    <row r="49" spans="1:31" ht="17.25">
      <c r="A49" s="4"/>
      <c r="B49" s="4"/>
      <c r="C49" s="4"/>
      <c r="D49" s="4"/>
      <c r="E49" s="197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</row>
    <row r="50" spans="1:31" ht="17.25">
      <c r="A50" s="4"/>
      <c r="B50" s="4"/>
      <c r="C50" s="4"/>
      <c r="D50" s="4"/>
      <c r="E50" s="197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</row>
    <row r="51" spans="1:31" ht="17.25">
      <c r="A51" s="4"/>
      <c r="B51" s="4"/>
      <c r="C51" s="4"/>
      <c r="D51" s="4"/>
      <c r="E51" s="197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</row>
    <row r="52" spans="1:31" ht="17.25">
      <c r="A52" s="4"/>
      <c r="B52" s="4"/>
      <c r="C52" s="4"/>
      <c r="D52" s="4"/>
      <c r="E52" s="197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</row>
    <row r="53" spans="1:31" ht="17.25">
      <c r="A53" s="4"/>
      <c r="B53" s="4"/>
      <c r="C53" s="4"/>
      <c r="D53" s="4"/>
      <c r="E53" s="197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</row>
    <row r="54" spans="1:31" ht="17.25">
      <c r="A54" s="4"/>
      <c r="B54" s="4"/>
      <c r="C54" s="4"/>
      <c r="D54" s="4"/>
      <c r="E54" s="197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</row>
    <row r="55" spans="1:31" ht="17.25">
      <c r="A55" s="4"/>
      <c r="B55" s="4"/>
      <c r="C55" s="4"/>
      <c r="D55" s="4"/>
      <c r="E55" s="197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</row>
    <row r="56" spans="1:31" ht="17.25">
      <c r="A56" s="4"/>
      <c r="B56" s="4"/>
      <c r="C56" s="4"/>
      <c r="D56" s="4"/>
      <c r="E56" s="197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</row>
    <row r="57" spans="1:31" ht="17.25">
      <c r="A57" s="4"/>
      <c r="B57" s="4"/>
      <c r="C57" s="4"/>
      <c r="D57" s="4"/>
      <c r="E57" s="197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</row>
    <row r="58" spans="1:31" ht="17.25">
      <c r="A58" s="4"/>
      <c r="B58" s="4"/>
      <c r="C58" s="4"/>
      <c r="D58" s="4"/>
      <c r="E58" s="197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</row>
    <row r="59" spans="1:31" ht="17.25">
      <c r="A59" s="4"/>
      <c r="B59" s="4"/>
      <c r="C59" s="4"/>
      <c r="D59" s="4"/>
      <c r="E59" s="197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</row>
    <row r="60" spans="1:31" ht="17.25">
      <c r="A60" s="4"/>
      <c r="B60" s="4"/>
      <c r="C60" s="4"/>
      <c r="D60" s="4"/>
      <c r="E60" s="197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</row>
    <row r="61" spans="1:31" ht="17.25">
      <c r="A61" s="4"/>
      <c r="B61" s="4"/>
      <c r="C61" s="4"/>
      <c r="D61" s="4"/>
      <c r="E61" s="197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</row>
    <row r="62" spans="1:31" ht="17.25">
      <c r="A62" s="4"/>
      <c r="B62" s="4"/>
      <c r="C62" s="4"/>
      <c r="D62" s="4"/>
      <c r="E62" s="197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</row>
    <row r="63" spans="1:31" ht="17.25">
      <c r="A63" s="4"/>
      <c r="B63" s="4"/>
      <c r="C63" s="4"/>
      <c r="D63" s="4"/>
      <c r="E63" s="197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</row>
    <row r="64" spans="1:31" ht="17.25">
      <c r="A64" s="4"/>
      <c r="B64" s="4"/>
      <c r="C64" s="4"/>
      <c r="D64" s="4"/>
      <c r="E64" s="197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</row>
    <row r="65" spans="1:31" ht="17.25">
      <c r="A65" s="4"/>
      <c r="B65" s="4"/>
      <c r="C65" s="4"/>
      <c r="D65" s="4"/>
      <c r="E65" s="197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</row>
    <row r="66" spans="1:31" ht="17.25">
      <c r="A66" s="4"/>
      <c r="B66" s="4"/>
      <c r="C66" s="4"/>
      <c r="D66" s="4"/>
      <c r="E66" s="197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</row>
    <row r="67" spans="1:31" ht="17.25">
      <c r="A67" s="4"/>
      <c r="B67" s="4"/>
      <c r="C67" s="4"/>
      <c r="D67" s="4"/>
      <c r="E67" s="197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</row>
    <row r="68" spans="1:31" ht="17.25">
      <c r="A68" s="4"/>
      <c r="B68" s="4"/>
      <c r="C68" s="4"/>
      <c r="D68" s="4"/>
      <c r="E68" s="197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</row>
    <row r="69" spans="1:31" ht="17.25">
      <c r="A69" s="4"/>
      <c r="B69" s="4"/>
      <c r="C69" s="4"/>
      <c r="D69" s="4"/>
      <c r="E69" s="197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</row>
    <row r="70" spans="1:31" ht="17.25">
      <c r="A70" s="4"/>
      <c r="B70" s="4"/>
      <c r="C70" s="4"/>
      <c r="D70" s="4"/>
      <c r="E70" s="197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</row>
    <row r="71" spans="1:31" ht="17.25">
      <c r="A71" s="4"/>
      <c r="B71" s="4"/>
      <c r="C71" s="4"/>
      <c r="D71" s="4"/>
      <c r="E71" s="197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</row>
    <row r="72" spans="1:31" ht="17.25">
      <c r="A72" s="4"/>
      <c r="B72" s="4"/>
      <c r="C72" s="4"/>
      <c r="D72" s="4"/>
      <c r="E72" s="197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</row>
    <row r="73" spans="1:31" ht="17.25">
      <c r="A73" s="4"/>
      <c r="B73" s="4"/>
      <c r="C73" s="4"/>
      <c r="D73" s="4"/>
      <c r="E73" s="197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</row>
    <row r="74" spans="1:31" ht="17.25">
      <c r="A74" s="4"/>
      <c r="B74" s="4"/>
      <c r="C74" s="4"/>
      <c r="D74" s="4"/>
      <c r="E74" s="197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</row>
    <row r="75" spans="1:31" ht="17.25">
      <c r="A75" s="4"/>
      <c r="B75" s="4"/>
      <c r="C75" s="4"/>
      <c r="D75" s="4"/>
      <c r="E75" s="197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</row>
    <row r="76" spans="1:31" ht="17.25">
      <c r="A76" s="4"/>
      <c r="B76" s="4"/>
      <c r="C76" s="4"/>
      <c r="D76" s="4"/>
      <c r="E76" s="197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</row>
    <row r="77" spans="1:31" ht="17.25">
      <c r="A77" s="4"/>
      <c r="B77" s="4"/>
      <c r="C77" s="4"/>
      <c r="D77" s="4"/>
      <c r="E77" s="197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</row>
    <row r="78" spans="1:31" ht="17.25">
      <c r="A78" s="4"/>
      <c r="B78" s="4"/>
      <c r="C78" s="4"/>
      <c r="D78" s="4"/>
      <c r="E78" s="197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</row>
    <row r="79" spans="1:31" ht="17.25">
      <c r="A79" s="4"/>
      <c r="B79" s="4"/>
      <c r="C79" s="4"/>
      <c r="D79" s="4"/>
      <c r="E79" s="197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</row>
    <row r="80" spans="1:31" ht="17.25">
      <c r="A80" s="4"/>
      <c r="B80" s="4"/>
      <c r="C80" s="4"/>
      <c r="D80" s="4"/>
      <c r="E80" s="197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</row>
    <row r="81" spans="1:31" ht="17.25">
      <c r="A81" s="4"/>
      <c r="B81" s="4"/>
      <c r="C81" s="4"/>
      <c r="D81" s="4"/>
      <c r="E81" s="197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</row>
    <row r="82" spans="1:31" ht="17.25">
      <c r="A82" s="4"/>
      <c r="B82" s="4"/>
      <c r="C82" s="4"/>
      <c r="D82" s="4"/>
      <c r="E82" s="197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</row>
    <row r="83" spans="1:31" ht="17.25">
      <c r="A83" s="4"/>
      <c r="B83" s="4"/>
      <c r="C83" s="4"/>
      <c r="D83" s="4"/>
      <c r="E83" s="197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</row>
    <row r="84" spans="1:31" ht="17.25">
      <c r="A84" s="4"/>
      <c r="B84" s="4"/>
      <c r="C84" s="4"/>
      <c r="D84" s="4"/>
      <c r="E84" s="197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</row>
    <row r="85" spans="1:31" ht="17.25">
      <c r="A85" s="4"/>
      <c r="B85" s="4"/>
      <c r="C85" s="4"/>
      <c r="D85" s="4"/>
      <c r="E85" s="197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</row>
    <row r="86" spans="1:31" ht="17.25">
      <c r="A86" s="4"/>
      <c r="B86" s="4"/>
      <c r="C86" s="4"/>
      <c r="D86" s="4"/>
      <c r="E86" s="197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</row>
    <row r="87" spans="1:31" ht="17.25">
      <c r="A87" s="4"/>
      <c r="B87" s="4"/>
      <c r="C87" s="4"/>
      <c r="D87" s="4"/>
      <c r="E87" s="197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</row>
    <row r="88" spans="1:31" ht="17.25">
      <c r="A88" s="4"/>
      <c r="B88" s="4"/>
      <c r="C88" s="4"/>
      <c r="D88" s="4"/>
      <c r="E88" s="197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</row>
    <row r="89" spans="1:31" ht="17.25">
      <c r="A89" s="4"/>
      <c r="B89" s="4"/>
      <c r="C89" s="4"/>
      <c r="D89" s="4"/>
      <c r="E89" s="197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</row>
    <row r="90" spans="1:31" ht="17.25">
      <c r="A90" s="4"/>
      <c r="B90" s="4"/>
      <c r="C90" s="4"/>
      <c r="D90" s="4"/>
      <c r="E90" s="197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</row>
  </sheetData>
  <mergeCells count="2">
    <mergeCell ref="A1:B1"/>
    <mergeCell ref="C8:D8"/>
  </mergeCells>
  <phoneticPr fontId="0" type="noConversion"/>
  <printOptions horizontalCentered="1" verticalCentered="1"/>
  <pageMargins left="0.45" right="0.45" top="0.41" bottom="0.56999999999999995" header="0" footer="0.24"/>
  <pageSetup scale="77" orientation="portrait" r:id="rId1"/>
  <headerFooter alignWithMargins="0">
    <oddFooter>&amp;LPrinted on &amp;D at &amp;T&amp;R&amp;F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AO86"/>
  <sheetViews>
    <sheetView showOutlineSymbols="0" zoomScale="110" zoomScaleNormal="110" workbookViewId="0">
      <selection activeCell="H23" sqref="H23"/>
    </sheetView>
  </sheetViews>
  <sheetFormatPr defaultColWidth="9.6640625" defaultRowHeight="15"/>
  <cols>
    <col min="1" max="1" width="8.6640625" style="1" customWidth="1"/>
    <col min="2" max="2" width="31.33203125" style="1" customWidth="1"/>
    <col min="3" max="3" width="9.6640625" style="1" customWidth="1"/>
    <col min="4" max="4" width="8.5546875" style="1" bestFit="1" customWidth="1"/>
    <col min="5" max="5" width="11.109375" style="1" bestFit="1" customWidth="1"/>
    <col min="6" max="6" width="8.21875" style="1" bestFit="1" customWidth="1"/>
    <col min="7" max="7" width="10.77734375" style="1" customWidth="1"/>
    <col min="8" max="8" width="9.6640625" style="1" customWidth="1"/>
    <col min="9" max="9" width="11" style="1" bestFit="1" customWidth="1"/>
    <col min="10" max="12" width="9.6640625" style="1" customWidth="1"/>
    <col min="13" max="13" width="2.6640625" style="1" customWidth="1"/>
    <col min="14" max="16" width="9.6640625" style="1" hidden="1" customWidth="1"/>
    <col min="17" max="17" width="4.77734375" style="1" customWidth="1"/>
    <col min="18" max="19" width="10.33203125" style="1" customWidth="1"/>
    <col min="20" max="20" width="8.6640625" style="1" customWidth="1"/>
    <col min="21" max="16384" width="9.6640625" style="1"/>
  </cols>
  <sheetData>
    <row r="1" spans="1:41" ht="21.95" customHeight="1">
      <c r="A1" s="258">
        <f>Summary!A1</f>
        <v>43830</v>
      </c>
      <c r="B1" s="258"/>
      <c r="C1" s="2"/>
      <c r="D1" s="2"/>
      <c r="E1" s="2"/>
      <c r="F1" s="2"/>
      <c r="G1" s="2"/>
      <c r="H1" s="2"/>
      <c r="I1" s="2"/>
      <c r="J1" s="2"/>
      <c r="K1" s="2"/>
      <c r="L1" s="3" t="s">
        <v>42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</row>
    <row r="2" spans="1:41" ht="21.9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</row>
    <row r="3" spans="1:41" ht="21.95" customHeight="1">
      <c r="A3" s="21" t="str">
        <f>Summary!A3</f>
        <v>ORCHID COVE CONDOMINIUM ASSN, INC.</v>
      </c>
      <c r="B3" s="6"/>
      <c r="C3" s="5"/>
      <c r="D3" s="5"/>
      <c r="E3" s="5"/>
      <c r="F3" s="22"/>
      <c r="G3" s="5"/>
      <c r="H3" s="5"/>
      <c r="I3" s="5"/>
      <c r="J3" s="5"/>
      <c r="K3" s="5"/>
      <c r="M3" s="5" t="s">
        <v>48</v>
      </c>
      <c r="N3" s="5"/>
      <c r="O3" s="5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</row>
    <row r="4" spans="1:41" ht="21.95" customHeight="1">
      <c r="A4" s="5" t="str">
        <f>Summary!A5</f>
        <v>PROPOSED BUDGET FOR THE PERIOD</v>
      </c>
      <c r="B4" s="5"/>
      <c r="C4" s="5"/>
      <c r="D4" s="5"/>
      <c r="E4" s="5"/>
      <c r="F4" s="22"/>
      <c r="G4" s="5"/>
      <c r="H4" s="5"/>
      <c r="I4" s="5"/>
      <c r="J4" s="5"/>
      <c r="K4" s="5"/>
      <c r="M4" s="5" t="s">
        <v>48</v>
      </c>
      <c r="N4" s="5"/>
      <c r="O4" s="5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</row>
    <row r="5" spans="1:41" ht="21.95" customHeight="1">
      <c r="A5" s="5" t="str">
        <f>Summary!A6</f>
        <v>JANUARY 1, 2020 to DECEMBER 31, 2020</v>
      </c>
      <c r="B5" s="5"/>
      <c r="C5" s="5"/>
      <c r="D5" s="5"/>
      <c r="E5" s="5"/>
      <c r="F5" s="22"/>
      <c r="G5" s="5"/>
      <c r="H5" s="5"/>
      <c r="I5" s="5"/>
      <c r="J5" s="5"/>
      <c r="K5" s="5"/>
      <c r="M5" s="24"/>
      <c r="N5" s="5"/>
      <c r="O5" s="5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</row>
    <row r="6" spans="1:41" ht="21.95" customHeight="1">
      <c r="A6" s="261" t="s">
        <v>110</v>
      </c>
      <c r="B6" s="261"/>
      <c r="C6" s="261"/>
      <c r="D6" s="261"/>
      <c r="E6" s="261"/>
      <c r="F6" s="261"/>
      <c r="G6" s="261"/>
      <c r="H6" s="261"/>
      <c r="I6" s="261"/>
      <c r="J6" s="261"/>
      <c r="K6" s="261"/>
      <c r="L6" s="23"/>
      <c r="M6" s="24"/>
      <c r="N6" s="5"/>
      <c r="O6" s="5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</row>
    <row r="7" spans="1:41" ht="13.9" customHeight="1">
      <c r="A7" s="5"/>
      <c r="B7" s="5"/>
      <c r="C7" s="5"/>
      <c r="D7" s="5"/>
      <c r="E7" s="5"/>
      <c r="F7" s="22"/>
      <c r="G7" s="5"/>
      <c r="H7" s="5"/>
      <c r="I7" s="5"/>
      <c r="J7" s="5"/>
      <c r="K7" s="5"/>
      <c r="L7" s="151" t="s">
        <v>43</v>
      </c>
      <c r="M7" s="24"/>
      <c r="N7" s="5"/>
      <c r="O7" s="5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</row>
    <row r="8" spans="1:41" ht="13.9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151" t="s">
        <v>44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</row>
    <row r="9" spans="1:41" ht="13.9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52">
        <v>1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</row>
    <row r="10" spans="1:41" ht="17.45" customHeight="1">
      <c r="A10" s="8"/>
      <c r="B10" s="9"/>
      <c r="C10" s="25" t="s">
        <v>21</v>
      </c>
      <c r="D10" s="26" t="s">
        <v>24</v>
      </c>
      <c r="E10" s="27" t="s">
        <v>26</v>
      </c>
      <c r="F10" s="27" t="s">
        <v>29</v>
      </c>
      <c r="G10" s="26" t="s">
        <v>32</v>
      </c>
      <c r="H10" s="26" t="s">
        <v>105</v>
      </c>
      <c r="I10" s="26" t="s">
        <v>35</v>
      </c>
      <c r="J10" s="26" t="s">
        <v>37</v>
      </c>
      <c r="K10" s="25" t="s">
        <v>38</v>
      </c>
      <c r="L10" s="26" t="s">
        <v>45</v>
      </c>
      <c r="M10" s="7"/>
      <c r="N10" s="8">
        <v>10</v>
      </c>
      <c r="O10" s="9">
        <v>11</v>
      </c>
      <c r="P10" s="26" t="s">
        <v>52</v>
      </c>
      <c r="Q10" s="43"/>
      <c r="R10" s="43"/>
      <c r="S10" s="43"/>
      <c r="T10" s="43"/>
      <c r="U10" s="53" t="s">
        <v>100</v>
      </c>
      <c r="V10" s="53">
        <v>1.03</v>
      </c>
      <c r="W10" s="53"/>
      <c r="X10" s="53"/>
      <c r="Y10" s="2"/>
      <c r="Z10" s="2"/>
      <c r="AA10" s="2"/>
      <c r="AB10" s="2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</row>
    <row r="11" spans="1:41" ht="14.25" customHeight="1">
      <c r="A11" s="28"/>
      <c r="B11" s="29"/>
      <c r="C11" s="182" t="s">
        <v>7</v>
      </c>
      <c r="D11" s="183" t="s">
        <v>7</v>
      </c>
      <c r="E11" s="183" t="s">
        <v>7</v>
      </c>
      <c r="F11" s="184" t="s">
        <v>30</v>
      </c>
      <c r="G11" s="183" t="s">
        <v>33</v>
      </c>
      <c r="H11" s="183" t="s">
        <v>121</v>
      </c>
      <c r="I11" s="183" t="s">
        <v>7</v>
      </c>
      <c r="J11" s="183" t="s">
        <v>7</v>
      </c>
      <c r="K11" s="182" t="s">
        <v>39</v>
      </c>
      <c r="L11" s="185" t="s">
        <v>46</v>
      </c>
      <c r="M11" s="7"/>
      <c r="N11" s="30" t="s">
        <v>40</v>
      </c>
      <c r="O11" s="29"/>
      <c r="P11" s="31" t="s">
        <v>53</v>
      </c>
      <c r="Q11" s="43"/>
      <c r="R11" s="43"/>
      <c r="S11" s="43"/>
      <c r="T11" s="43"/>
      <c r="U11" s="53"/>
      <c r="V11" s="53"/>
      <c r="W11" s="53"/>
      <c r="X11" s="53"/>
      <c r="Y11" s="2"/>
      <c r="Z11" s="2"/>
      <c r="AA11" s="2"/>
      <c r="AB11" s="2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</row>
    <row r="12" spans="1:41" ht="17.25" customHeight="1">
      <c r="A12" s="32"/>
      <c r="B12" s="33"/>
      <c r="C12" s="186" t="s">
        <v>22</v>
      </c>
      <c r="D12" s="187" t="s">
        <v>25</v>
      </c>
      <c r="E12" s="187" t="s">
        <v>27</v>
      </c>
      <c r="F12" s="186" t="s">
        <v>31</v>
      </c>
      <c r="G12" s="187" t="s">
        <v>34</v>
      </c>
      <c r="H12" s="187" t="s">
        <v>122</v>
      </c>
      <c r="I12" s="187" t="s">
        <v>36</v>
      </c>
      <c r="J12" s="187" t="s">
        <v>31</v>
      </c>
      <c r="K12" s="186" t="s">
        <v>40</v>
      </c>
      <c r="L12" s="187" t="s">
        <v>40</v>
      </c>
      <c r="M12" s="7"/>
      <c r="N12" s="34" t="s">
        <v>49</v>
      </c>
      <c r="O12" s="35" t="s">
        <v>43</v>
      </c>
      <c r="P12" s="35" t="s">
        <v>54</v>
      </c>
      <c r="Q12" s="43"/>
      <c r="R12" s="43"/>
      <c r="S12" s="43"/>
      <c r="T12" s="43"/>
      <c r="U12" s="2"/>
      <c r="V12" s="2"/>
      <c r="W12" s="2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</row>
    <row r="13" spans="1:41" ht="18.75" customHeight="1">
      <c r="A13" s="32"/>
      <c r="B13" s="33"/>
      <c r="C13" s="186" t="s">
        <v>23</v>
      </c>
      <c r="D13" s="187" t="s">
        <v>22</v>
      </c>
      <c r="E13" s="187" t="s">
        <v>28</v>
      </c>
      <c r="F13" s="188">
        <v>43466</v>
      </c>
      <c r="G13" s="187">
        <f>Summary!C10</f>
        <v>2019</v>
      </c>
      <c r="H13" s="187" t="s">
        <v>123</v>
      </c>
      <c r="I13" s="187">
        <f>G13</f>
        <v>2019</v>
      </c>
      <c r="J13" s="189">
        <f>F13+365</f>
        <v>43831</v>
      </c>
      <c r="K13" s="190" t="s">
        <v>41</v>
      </c>
      <c r="L13" s="191" t="s">
        <v>47</v>
      </c>
      <c r="M13" s="7"/>
      <c r="N13" s="34" t="s">
        <v>50</v>
      </c>
      <c r="O13" s="35" t="s">
        <v>51</v>
      </c>
      <c r="P13" s="35" t="s">
        <v>55</v>
      </c>
      <c r="Q13" s="43"/>
      <c r="R13" s="53">
        <v>2020</v>
      </c>
      <c r="S13" s="53">
        <v>2019</v>
      </c>
      <c r="T13" s="53">
        <v>2018</v>
      </c>
      <c r="U13" s="53">
        <v>2017</v>
      </c>
      <c r="V13" s="2"/>
      <c r="W13" s="2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</row>
    <row r="14" spans="1:41" ht="19.899999999999999" customHeight="1">
      <c r="A14" s="36" t="s">
        <v>14</v>
      </c>
      <c r="B14" s="146" t="s">
        <v>109</v>
      </c>
      <c r="C14" s="37"/>
      <c r="D14" s="16"/>
      <c r="E14" s="16"/>
      <c r="F14" s="37"/>
      <c r="G14" s="16"/>
      <c r="H14" s="16"/>
      <c r="I14" s="16"/>
      <c r="J14" s="16"/>
      <c r="K14" s="37"/>
      <c r="L14" s="16"/>
      <c r="M14" s="7"/>
      <c r="N14" s="37"/>
      <c r="O14" s="16"/>
      <c r="P14" s="16"/>
      <c r="Q14" s="43"/>
      <c r="R14" s="53"/>
      <c r="S14" s="53"/>
      <c r="T14" s="53"/>
      <c r="U14" s="53"/>
      <c r="V14" s="38"/>
      <c r="W14" s="38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</row>
    <row r="15" spans="1:41" ht="24.95" customHeight="1">
      <c r="A15" s="39">
        <v>3610</v>
      </c>
      <c r="B15" s="39" t="s">
        <v>113</v>
      </c>
      <c r="C15" s="19">
        <v>20</v>
      </c>
      <c r="D15" s="40">
        <v>7</v>
      </c>
      <c r="E15" s="40">
        <f t="shared" ref="E15:E19" si="0">R15</f>
        <v>38245.445</v>
      </c>
      <c r="F15" s="13">
        <v>24303.040000000001</v>
      </c>
      <c r="G15" s="40">
        <f>1069.2/8*12</f>
        <v>1603.8000000000002</v>
      </c>
      <c r="H15" s="40"/>
      <c r="I15" s="40"/>
      <c r="J15" s="40">
        <f t="shared" ref="J15:J19" si="1">F15+G15+H15-I15</f>
        <v>25906.84</v>
      </c>
      <c r="K15" s="13">
        <f t="shared" ref="K15:K20" si="2">E15-J15</f>
        <v>12338.605</v>
      </c>
      <c r="L15" s="40">
        <f t="shared" ref="L15:L20" si="3">K15/D15*PF</f>
        <v>1762.657857142857</v>
      </c>
      <c r="M15" s="7"/>
      <c r="N15" s="13"/>
      <c r="O15" s="41"/>
      <c r="P15" s="40"/>
      <c r="Q15" s="43"/>
      <c r="R15" s="55">
        <f t="shared" ref="R15:R20" si="4">S15*INFPCT</f>
        <v>38245.445</v>
      </c>
      <c r="S15" s="240">
        <f t="shared" ref="S15:T20" si="5">+T15*INFPCT</f>
        <v>37131.5</v>
      </c>
      <c r="T15" s="240">
        <f t="shared" si="5"/>
        <v>36050</v>
      </c>
      <c r="U15" s="240">
        <v>35000</v>
      </c>
      <c r="V15" s="2"/>
      <c r="W15" s="2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</row>
    <row r="16" spans="1:41" ht="24.95" customHeight="1">
      <c r="A16" s="39">
        <v>3630</v>
      </c>
      <c r="B16" s="39" t="s">
        <v>129</v>
      </c>
      <c r="C16" s="19">
        <v>30</v>
      </c>
      <c r="D16" s="40">
        <v>13</v>
      </c>
      <c r="E16" s="40">
        <f t="shared" si="0"/>
        <v>437090.8</v>
      </c>
      <c r="F16" s="13">
        <v>167425.21</v>
      </c>
      <c r="G16" s="40">
        <f>10806.4/8*12</f>
        <v>16209.599999999999</v>
      </c>
      <c r="H16" s="40">
        <f>45000</f>
        <v>45000</v>
      </c>
      <c r="I16" s="40"/>
      <c r="J16" s="40">
        <f t="shared" si="1"/>
        <v>228634.81</v>
      </c>
      <c r="K16" s="13">
        <f t="shared" si="2"/>
        <v>208455.99</v>
      </c>
      <c r="L16" s="40">
        <f t="shared" si="3"/>
        <v>16035.076153846154</v>
      </c>
      <c r="M16" s="7"/>
      <c r="N16" s="13"/>
      <c r="O16" s="41"/>
      <c r="P16" s="40"/>
      <c r="Q16" s="43"/>
      <c r="R16" s="55">
        <f t="shared" si="4"/>
        <v>437090.8</v>
      </c>
      <c r="S16" s="240">
        <f t="shared" si="5"/>
        <v>424360</v>
      </c>
      <c r="T16" s="240">
        <f t="shared" si="5"/>
        <v>412000</v>
      </c>
      <c r="U16" s="240">
        <v>400000</v>
      </c>
      <c r="V16" s="2"/>
      <c r="W16" s="2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</row>
    <row r="17" spans="1:41" ht="24.95" customHeight="1">
      <c r="A17" s="39">
        <v>3640</v>
      </c>
      <c r="B17" s="39" t="s">
        <v>130</v>
      </c>
      <c r="C17" s="19">
        <v>10</v>
      </c>
      <c r="D17" s="40">
        <v>7</v>
      </c>
      <c r="E17" s="40">
        <f t="shared" si="0"/>
        <v>71027.255000000005</v>
      </c>
      <c r="F17" s="13">
        <v>7567.04</v>
      </c>
      <c r="G17" s="40">
        <f>5116/8*12</f>
        <v>7674</v>
      </c>
      <c r="H17" s="40"/>
      <c r="I17" s="40"/>
      <c r="J17" s="40">
        <f t="shared" si="1"/>
        <v>15241.04</v>
      </c>
      <c r="K17" s="13">
        <f t="shared" ref="K17" si="6">E17-J17</f>
        <v>55786.215000000004</v>
      </c>
      <c r="L17" s="40">
        <f t="shared" ref="L17" si="7">K17/D17*PF</f>
        <v>7969.4592857142861</v>
      </c>
      <c r="M17" s="7"/>
      <c r="N17" s="13"/>
      <c r="O17" s="41"/>
      <c r="P17" s="40"/>
      <c r="Q17" s="43"/>
      <c r="R17" s="55">
        <f t="shared" si="4"/>
        <v>71027.255000000005</v>
      </c>
      <c r="S17" s="240">
        <f t="shared" si="5"/>
        <v>68958.5</v>
      </c>
      <c r="T17" s="240">
        <f t="shared" si="5"/>
        <v>66950</v>
      </c>
      <c r="U17" s="240">
        <v>65000</v>
      </c>
      <c r="V17" s="2"/>
      <c r="W17" s="2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</row>
    <row r="18" spans="1:41" ht="24.95" customHeight="1">
      <c r="A18" s="39">
        <v>3650</v>
      </c>
      <c r="B18" s="39" t="s">
        <v>131</v>
      </c>
      <c r="C18" s="19">
        <v>20</v>
      </c>
      <c r="D18" s="40">
        <v>7</v>
      </c>
      <c r="E18" s="40">
        <f t="shared" si="0"/>
        <v>65563.62</v>
      </c>
      <c r="F18" s="13">
        <v>27658.560000000001</v>
      </c>
      <c r="G18" s="40">
        <f>2999.2/8*12</f>
        <v>4498.7999999999993</v>
      </c>
      <c r="H18" s="40"/>
      <c r="I18" s="40"/>
      <c r="J18" s="40">
        <f t="shared" si="1"/>
        <v>32157.360000000001</v>
      </c>
      <c r="K18" s="13">
        <f t="shared" si="2"/>
        <v>33406.259999999995</v>
      </c>
      <c r="L18" s="40">
        <f t="shared" si="3"/>
        <v>4772.3228571428563</v>
      </c>
      <c r="M18" s="7"/>
      <c r="N18" s="13"/>
      <c r="O18" s="41"/>
      <c r="P18" s="40"/>
      <c r="Q18" s="43"/>
      <c r="R18" s="55">
        <f t="shared" si="4"/>
        <v>65563.62</v>
      </c>
      <c r="S18" s="240">
        <f t="shared" si="5"/>
        <v>63654</v>
      </c>
      <c r="T18" s="240">
        <f t="shared" si="5"/>
        <v>61800</v>
      </c>
      <c r="U18" s="240">
        <v>60000</v>
      </c>
      <c r="V18" s="2"/>
      <c r="W18" s="2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</row>
    <row r="19" spans="1:41" ht="24.95" customHeight="1">
      <c r="A19" s="210">
        <v>3730</v>
      </c>
      <c r="B19" s="211" t="s">
        <v>132</v>
      </c>
      <c r="C19" s="158">
        <v>15</v>
      </c>
      <c r="D19" s="135">
        <v>13</v>
      </c>
      <c r="E19" s="40">
        <f t="shared" si="0"/>
        <v>21854.54</v>
      </c>
      <c r="F19" s="136">
        <v>2532.96</v>
      </c>
      <c r="G19" s="135">
        <f>593.92/8*12</f>
        <v>890.87999999999988</v>
      </c>
      <c r="H19" s="135"/>
      <c r="I19" s="135"/>
      <c r="J19" s="135">
        <f t="shared" si="1"/>
        <v>3423.84</v>
      </c>
      <c r="K19" s="13">
        <f t="shared" si="2"/>
        <v>18430.7</v>
      </c>
      <c r="L19" s="40">
        <f t="shared" si="3"/>
        <v>1417.7461538461539</v>
      </c>
      <c r="M19" s="7"/>
      <c r="N19" s="13"/>
      <c r="O19" s="41"/>
      <c r="P19" s="40"/>
      <c r="Q19" s="43"/>
      <c r="R19" s="55">
        <f t="shared" si="4"/>
        <v>21854.54</v>
      </c>
      <c r="S19" s="240">
        <f t="shared" si="5"/>
        <v>21218</v>
      </c>
      <c r="T19" s="240">
        <f t="shared" si="5"/>
        <v>20600</v>
      </c>
      <c r="U19" s="240">
        <v>20000</v>
      </c>
      <c r="V19" s="2"/>
      <c r="W19" s="2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</row>
    <row r="20" spans="1:41" ht="24.95" customHeight="1" thickBot="1">
      <c r="A20" s="156">
        <v>3770</v>
      </c>
      <c r="B20" s="156" t="s">
        <v>144</v>
      </c>
      <c r="C20" s="158">
        <v>15</v>
      </c>
      <c r="D20" s="135">
        <v>10</v>
      </c>
      <c r="E20" s="40">
        <f>R20+3029</f>
        <v>8492.6350000000002</v>
      </c>
      <c r="F20" s="136">
        <v>3492.93</v>
      </c>
      <c r="G20" s="135">
        <v>0</v>
      </c>
      <c r="H20" s="135">
        <v>5000</v>
      </c>
      <c r="I20" s="135"/>
      <c r="J20" s="135">
        <f>F20+G20+H20-I20</f>
        <v>8492.93</v>
      </c>
      <c r="K20" s="136">
        <f t="shared" si="2"/>
        <v>-0.29500000000007276</v>
      </c>
      <c r="L20" s="157">
        <f t="shared" si="3"/>
        <v>-2.9500000000007277E-2</v>
      </c>
      <c r="M20" s="7"/>
      <c r="N20" s="13"/>
      <c r="O20" s="41"/>
      <c r="P20" s="40"/>
      <c r="Q20" s="43"/>
      <c r="R20" s="251">
        <f t="shared" si="4"/>
        <v>5463.6350000000002</v>
      </c>
      <c r="S20" s="240">
        <f t="shared" si="5"/>
        <v>5304.5</v>
      </c>
      <c r="T20" s="240">
        <f t="shared" si="5"/>
        <v>5150</v>
      </c>
      <c r="U20" s="240">
        <v>5000</v>
      </c>
      <c r="V20" s="2"/>
      <c r="W20" s="2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</row>
    <row r="21" spans="1:41" ht="24.95" customHeight="1" thickBot="1">
      <c r="A21" s="201"/>
      <c r="B21" s="202" t="s">
        <v>101</v>
      </c>
      <c r="C21" s="231"/>
      <c r="D21" s="232"/>
      <c r="E21" s="233">
        <f>SUM(E15:E20)</f>
        <v>642274.29500000004</v>
      </c>
      <c r="F21" s="231">
        <f>SUM(F15:F20)</f>
        <v>232979.74</v>
      </c>
      <c r="G21" s="231">
        <f>SUM(G15:G20)</f>
        <v>30877.079999999998</v>
      </c>
      <c r="H21" s="232"/>
      <c r="I21" s="231">
        <f>SUM(I15:I20)</f>
        <v>0</v>
      </c>
      <c r="J21" s="233">
        <f>SUM(J15:J20)</f>
        <v>313856.82</v>
      </c>
      <c r="K21" s="147">
        <f>SUM(K15:K20)</f>
        <v>328417.47500000003</v>
      </c>
      <c r="L21" s="148">
        <f>SUM(L15:L20)</f>
        <v>31957.232807692304</v>
      </c>
      <c r="M21" s="7"/>
      <c r="N21" s="13">
        <f>SUM(N15:N18)</f>
        <v>0</v>
      </c>
      <c r="O21" s="41"/>
      <c r="P21" s="40">
        <f>SUM(P15:P18)</f>
        <v>0</v>
      </c>
      <c r="Q21" s="2"/>
      <c r="R21" s="252">
        <f>SUM(R15:R20)</f>
        <v>639245.29500000004</v>
      </c>
      <c r="S21" s="233">
        <f>SUM(S15:S20)</f>
        <v>620626.5</v>
      </c>
      <c r="T21" s="233">
        <f>SUM(T15:T20)</f>
        <v>602550</v>
      </c>
      <c r="U21" s="233">
        <f>SUM(U15:U20)</f>
        <v>585000</v>
      </c>
      <c r="V21" s="2"/>
      <c r="W21" s="2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</row>
    <row r="22" spans="1:41" ht="24.95" customHeight="1" thickTop="1" thickBot="1">
      <c r="A22" s="53">
        <v>3607</v>
      </c>
      <c r="B22" s="57" t="s">
        <v>120</v>
      </c>
      <c r="C22" s="235"/>
      <c r="D22" s="236"/>
      <c r="E22" s="237"/>
      <c r="F22" s="238">
        <v>23997.26</v>
      </c>
      <c r="G22" s="135">
        <f>1403.2/8*12</f>
        <v>2104.8000000000002</v>
      </c>
      <c r="H22" s="236">
        <v>-20000</v>
      </c>
      <c r="I22" s="236"/>
      <c r="J22" s="239">
        <f>F22+G22+H22-I22</f>
        <v>6102.0599999999977</v>
      </c>
      <c r="K22" s="43"/>
      <c r="L22" s="43"/>
      <c r="M22" s="2"/>
      <c r="N22" s="2">
        <v>132</v>
      </c>
      <c r="O22" s="2"/>
      <c r="P22" s="2"/>
      <c r="Q22" s="2"/>
      <c r="R22" s="2"/>
      <c r="S22" s="2"/>
      <c r="T22" s="2"/>
      <c r="U22" s="2"/>
      <c r="V22" s="2"/>
      <c r="W22" s="2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</row>
    <row r="23" spans="1:41" ht="24.95" customHeight="1">
      <c r="A23" s="203"/>
      <c r="B23" s="204" t="s">
        <v>18</v>
      </c>
      <c r="C23" s="227"/>
      <c r="D23" s="228"/>
      <c r="E23" s="230"/>
      <c r="F23" s="229">
        <f>SUM(F21:F22)</f>
        <v>256977</v>
      </c>
      <c r="G23" s="234">
        <f>SUM(G21:G22)</f>
        <v>32981.879999999997</v>
      </c>
      <c r="H23" s="234"/>
      <c r="I23" s="234"/>
      <c r="J23" s="230">
        <f>SUM(J21:J22)</f>
        <v>319958.88</v>
      </c>
      <c r="K23" s="18"/>
      <c r="L23" s="18"/>
      <c r="M23" s="2"/>
      <c r="N23" s="2"/>
      <c r="O23" s="2"/>
      <c r="P23" s="2"/>
      <c r="Q23" s="65"/>
      <c r="R23" s="65"/>
      <c r="S23" s="65"/>
      <c r="T23" s="65"/>
      <c r="V23" s="2"/>
      <c r="W23" s="2"/>
      <c r="X23" s="2"/>
      <c r="Y23" s="2"/>
      <c r="Z23" s="2"/>
      <c r="AA23" s="2"/>
      <c r="AB23" s="2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</row>
    <row r="24" spans="1:41" ht="24.95" customHeight="1">
      <c r="A24" s="2"/>
      <c r="B24" s="2"/>
      <c r="C24" s="2"/>
      <c r="D24" s="2"/>
      <c r="E24" s="18"/>
      <c r="F24" s="18"/>
      <c r="G24" s="18"/>
      <c r="H24" s="18"/>
      <c r="I24" s="18"/>
      <c r="J24" s="18"/>
      <c r="K24" s="18"/>
      <c r="L24" s="18"/>
      <c r="M24" s="2"/>
      <c r="N24" s="2"/>
      <c r="O24" s="2"/>
      <c r="P24" s="2"/>
      <c r="Q24" s="65"/>
      <c r="R24" s="65"/>
      <c r="S24" s="65"/>
      <c r="T24" s="65"/>
      <c r="V24" s="2"/>
      <c r="W24" s="2"/>
      <c r="X24" s="2"/>
      <c r="Y24" s="2"/>
      <c r="Z24" s="2"/>
      <c r="AA24" s="2"/>
      <c r="AB24" s="2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</row>
    <row r="25" spans="1:41" ht="24.95" customHeight="1">
      <c r="A25" s="65" t="s">
        <v>15</v>
      </c>
      <c r="B25" s="65" t="s">
        <v>19</v>
      </c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6"/>
      <c r="O25" s="66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</row>
    <row r="26" spans="1:41" ht="24.95" customHeight="1">
      <c r="A26" s="65"/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6"/>
      <c r="O26" s="66"/>
      <c r="P26" s="65"/>
      <c r="Q26" s="2"/>
      <c r="R26" s="2"/>
      <c r="S26" s="2"/>
      <c r="T26" s="2"/>
      <c r="U26" s="65"/>
      <c r="V26" s="65"/>
      <c r="W26" s="65"/>
      <c r="X26" s="65"/>
      <c r="Y26" s="65"/>
      <c r="Z26" s="65"/>
      <c r="AA26" s="65"/>
      <c r="AB26" s="65"/>
      <c r="AC26" s="65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</row>
    <row r="27" spans="1:41" ht="21.95" customHeight="1">
      <c r="A27" s="65" t="s">
        <v>16</v>
      </c>
      <c r="B27" s="65" t="s">
        <v>106</v>
      </c>
      <c r="C27" s="65"/>
      <c r="D27" s="65"/>
      <c r="E27" s="66"/>
      <c r="F27" s="66"/>
      <c r="G27" s="66"/>
      <c r="H27" s="66"/>
      <c r="I27" s="66"/>
      <c r="J27" s="66"/>
      <c r="K27" s="66"/>
      <c r="L27" s="2"/>
      <c r="M27" s="2"/>
      <c r="N27" s="2"/>
      <c r="O27" s="2"/>
      <c r="P27" s="2"/>
      <c r="Q27" s="2"/>
      <c r="R27" s="2"/>
      <c r="S27" s="2"/>
      <c r="T27" s="2"/>
      <c r="V27" s="2"/>
      <c r="W27" s="2"/>
      <c r="X27" s="2"/>
      <c r="Y27" s="2"/>
      <c r="Z27" s="2"/>
      <c r="AA27" s="2"/>
      <c r="AB27" s="2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</row>
    <row r="28" spans="1:41" ht="21.95" customHeight="1">
      <c r="A28" s="65"/>
      <c r="B28" s="65" t="s">
        <v>107</v>
      </c>
      <c r="C28" s="65"/>
      <c r="D28" s="65"/>
      <c r="E28" s="65"/>
      <c r="F28" s="65"/>
      <c r="G28" s="65"/>
      <c r="H28" s="65"/>
      <c r="I28" s="65"/>
      <c r="J28" s="65"/>
      <c r="K28" s="65"/>
      <c r="L28" s="2"/>
      <c r="M28" s="2"/>
      <c r="N28" s="2"/>
      <c r="O28" s="2"/>
      <c r="P28" s="2"/>
      <c r="Q28" s="2"/>
      <c r="R28" s="2"/>
      <c r="S28" s="2"/>
      <c r="T28" s="2"/>
      <c r="V28" s="2"/>
      <c r="W28" s="2"/>
      <c r="X28" s="2"/>
      <c r="Y28" s="2"/>
      <c r="Z28" s="2"/>
      <c r="AA28" s="2"/>
      <c r="AB28" s="2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</row>
    <row r="29" spans="1:41" ht="21.95" customHeight="1">
      <c r="A29" s="65"/>
      <c r="B29" s="65" t="s">
        <v>108</v>
      </c>
      <c r="C29" s="65"/>
      <c r="D29" s="65"/>
      <c r="E29" s="65"/>
      <c r="F29" s="65"/>
      <c r="G29" s="65"/>
      <c r="H29" s="65"/>
      <c r="I29" s="65"/>
      <c r="J29" s="65"/>
      <c r="K29" s="65"/>
      <c r="L29" s="2"/>
      <c r="M29" s="2"/>
      <c r="P29" s="2"/>
      <c r="Q29" s="2"/>
      <c r="R29" s="2"/>
      <c r="S29" s="2"/>
      <c r="T29" s="2"/>
      <c r="V29" s="2"/>
      <c r="W29" s="2"/>
      <c r="X29" s="2"/>
      <c r="Y29" s="2"/>
      <c r="Z29" s="2"/>
      <c r="AA29" s="2"/>
      <c r="AB29" s="2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</row>
    <row r="30" spans="1:41" s="65" customFormat="1" ht="21.95" customHeight="1">
      <c r="L30" s="2"/>
      <c r="M30" s="2"/>
      <c r="N30" s="18"/>
      <c r="O30" s="18"/>
      <c r="P30" s="2"/>
      <c r="U30" s="1"/>
      <c r="V30" s="2"/>
      <c r="W30" s="2"/>
      <c r="X30" s="2"/>
      <c r="Y30" s="2"/>
      <c r="Z30" s="2"/>
      <c r="AA30" s="2"/>
      <c r="AB30" s="2"/>
      <c r="AC30" s="4"/>
    </row>
    <row r="31" spans="1:41" s="65" customFormat="1" ht="12" customHeight="1">
      <c r="A31" s="65" t="s">
        <v>17</v>
      </c>
      <c r="B31" s="65" t="s">
        <v>20</v>
      </c>
      <c r="Q31" s="2"/>
      <c r="R31" s="2"/>
      <c r="S31" s="2"/>
      <c r="T31" s="2"/>
    </row>
    <row r="32" spans="1:41" ht="22.9" customHeight="1">
      <c r="A32" s="2"/>
      <c r="B32" s="2"/>
      <c r="C32" s="2"/>
      <c r="D32" s="2"/>
      <c r="E32" s="2"/>
      <c r="F32" s="18"/>
      <c r="G32" s="2"/>
      <c r="H32" s="2"/>
      <c r="I32" s="2"/>
      <c r="J32" s="2"/>
      <c r="K32" s="18"/>
      <c r="L32" s="2"/>
      <c r="M32" s="2"/>
      <c r="N32" s="18"/>
      <c r="O32" s="18"/>
      <c r="P32" s="2"/>
      <c r="Q32" s="2"/>
      <c r="R32" s="2"/>
      <c r="S32" s="2"/>
      <c r="T32" s="2"/>
      <c r="V32" s="2"/>
      <c r="W32" s="2"/>
      <c r="X32" s="2"/>
      <c r="Y32" s="2"/>
      <c r="Z32" s="2"/>
      <c r="AA32" s="2"/>
      <c r="AB32" s="2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</row>
    <row r="33" spans="1:41" ht="21.9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66"/>
      <c r="O33" s="66"/>
      <c r="P33" s="2"/>
      <c r="Q33" s="2"/>
      <c r="R33" s="2"/>
      <c r="S33" s="2"/>
      <c r="T33" s="2"/>
      <c r="V33" s="2"/>
      <c r="W33" s="2"/>
      <c r="X33" s="2"/>
      <c r="Y33" s="2"/>
      <c r="Z33" s="2"/>
      <c r="AA33" s="2"/>
      <c r="AB33" s="2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</row>
    <row r="34" spans="1:41" ht="21.95" customHeight="1">
      <c r="A34" s="2"/>
      <c r="B34" s="2"/>
      <c r="C34" s="2"/>
      <c r="D34" s="2"/>
      <c r="E34" s="18"/>
      <c r="F34" s="2"/>
      <c r="G34" s="2"/>
      <c r="H34" s="2"/>
      <c r="I34" s="2"/>
      <c r="J34" s="2"/>
      <c r="K34" s="18"/>
      <c r="L34" s="18"/>
      <c r="M34" s="2"/>
      <c r="N34" s="18"/>
      <c r="O34" s="18"/>
      <c r="P34" s="2"/>
      <c r="Q34" s="2"/>
      <c r="R34" s="2"/>
      <c r="S34" s="2"/>
      <c r="T34" s="2"/>
      <c r="V34" s="2"/>
      <c r="W34" s="2"/>
      <c r="X34" s="2"/>
      <c r="Y34" s="2"/>
      <c r="Z34" s="2"/>
      <c r="AA34" s="2"/>
      <c r="AB34" s="2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</row>
    <row r="35" spans="1:41" ht="13.1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159"/>
      <c r="O35" s="2"/>
      <c r="P35" s="2"/>
      <c r="Q35" s="2"/>
      <c r="R35" s="2"/>
      <c r="S35" s="2"/>
      <c r="T35" s="2"/>
      <c r="V35" s="2"/>
      <c r="W35" s="2"/>
      <c r="X35" s="2"/>
      <c r="Y35" s="2"/>
      <c r="Z35" s="2"/>
      <c r="AA35" s="2"/>
      <c r="AB35" s="2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</row>
    <row r="36" spans="1:41" s="65" customFormat="1" ht="21.95" customHeight="1">
      <c r="A36" s="2"/>
      <c r="B36" s="2"/>
      <c r="C36" s="2"/>
      <c r="D36" s="2"/>
      <c r="E36" s="18"/>
      <c r="F36" s="18"/>
      <c r="G36" s="2"/>
      <c r="H36" s="2"/>
      <c r="I36" s="2"/>
      <c r="J36" s="2"/>
      <c r="K36" s="18"/>
      <c r="L36" s="18"/>
      <c r="M36" s="2"/>
      <c r="N36" s="2"/>
      <c r="O36" s="2"/>
      <c r="P36" s="2"/>
      <c r="Q36" s="2"/>
      <c r="R36" s="2"/>
      <c r="S36" s="2"/>
      <c r="T36" s="2"/>
      <c r="U36" s="1"/>
      <c r="V36" s="2"/>
      <c r="W36" s="2"/>
      <c r="X36" s="2"/>
      <c r="Y36" s="2"/>
      <c r="Z36" s="2"/>
      <c r="AA36" s="2"/>
      <c r="AB36" s="2"/>
      <c r="AC36" s="4"/>
    </row>
    <row r="37" spans="1:41" ht="21.95" customHeight="1">
      <c r="A37" s="2"/>
      <c r="B37" s="2"/>
      <c r="C37" s="2"/>
      <c r="D37" s="2"/>
      <c r="E37" s="18"/>
      <c r="F37" s="2"/>
      <c r="G37" s="2"/>
      <c r="H37" s="2"/>
      <c r="I37" s="2"/>
      <c r="J37" s="2"/>
      <c r="K37" s="2"/>
      <c r="L37" s="2"/>
      <c r="M37" s="2"/>
      <c r="V37" s="2"/>
      <c r="W37" s="2"/>
      <c r="X37" s="2"/>
      <c r="Y37" s="2"/>
      <c r="Z37" s="2"/>
      <c r="AA37" s="2"/>
      <c r="AB37" s="2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</row>
    <row r="38" spans="1:41" ht="21.9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</row>
    <row r="39" spans="1:41" ht="21.9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</row>
    <row r="40" spans="1:41" ht="17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</row>
    <row r="41" spans="1:41" ht="17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</row>
    <row r="42" spans="1:41" ht="17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</row>
    <row r="43" spans="1:41" ht="17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</row>
    <row r="44" spans="1:41" ht="17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</row>
    <row r="45" spans="1:41" ht="17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</row>
    <row r="46" spans="1:41" ht="17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</row>
    <row r="47" spans="1:41" ht="17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</row>
    <row r="48" spans="1:41" ht="17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</row>
    <row r="49" spans="1:41" ht="17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</row>
    <row r="50" spans="1:41" ht="17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</row>
    <row r="51" spans="1:41" ht="17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</row>
    <row r="52" spans="1:41" ht="17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</row>
    <row r="53" spans="1:41" ht="17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</row>
    <row r="54" spans="1:41" ht="17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</row>
    <row r="55" spans="1:41" ht="17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</row>
    <row r="56" spans="1:41" ht="17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</row>
    <row r="57" spans="1:41" ht="17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</row>
    <row r="58" spans="1:41" ht="17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</row>
    <row r="59" spans="1:41" ht="17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</row>
    <row r="60" spans="1:41" ht="17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</row>
    <row r="61" spans="1:41" ht="17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</row>
    <row r="62" spans="1:41" ht="17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</row>
    <row r="63" spans="1:41" ht="17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</row>
    <row r="64" spans="1:41" ht="17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</row>
    <row r="65" spans="1:41" ht="17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</row>
    <row r="66" spans="1:41" ht="17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</row>
    <row r="67" spans="1:41" ht="17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</row>
    <row r="68" spans="1:41" ht="17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</row>
    <row r="69" spans="1:41" ht="17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</row>
    <row r="70" spans="1:41" ht="17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</row>
    <row r="71" spans="1:41" ht="17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</row>
    <row r="72" spans="1:41" ht="17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</row>
    <row r="73" spans="1:41" ht="17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</row>
    <row r="74" spans="1:41" ht="17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</row>
    <row r="75" spans="1:41" ht="17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</row>
    <row r="76" spans="1:41" ht="17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</row>
    <row r="77" spans="1:41" ht="17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</row>
    <row r="78" spans="1:41" ht="17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</row>
    <row r="79" spans="1:41" ht="17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</row>
    <row r="80" spans="1:41" ht="17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</row>
    <row r="81" spans="1:41" ht="17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</row>
    <row r="82" spans="1:41" ht="17.25"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</row>
    <row r="83" spans="1:41" ht="17.25"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</row>
    <row r="84" spans="1:41" ht="17.25"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</row>
    <row r="85" spans="1:41" ht="17.25"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</row>
    <row r="86" spans="1:41" ht="17.25"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</row>
  </sheetData>
  <mergeCells count="2">
    <mergeCell ref="A1:B1"/>
    <mergeCell ref="A6:K6"/>
  </mergeCells>
  <phoneticPr fontId="0" type="noConversion"/>
  <printOptions horizontalCentered="1" verticalCentered="1"/>
  <pageMargins left="0.45" right="0.45" top="0.46" bottom="0.55000000000000004" header="0" footer="0.3"/>
  <pageSetup scale="76" orientation="landscape" r:id="rId1"/>
  <headerFooter alignWithMargins="0">
    <oddFooter>&amp;LPrinted on &amp;D at &amp;T&amp;R&amp;F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57"/>
  <sheetViews>
    <sheetView topLeftCell="A8" zoomScale="130" zoomScaleNormal="130" workbookViewId="0">
      <pane ySplit="6" topLeftCell="A26" activePane="bottomLeft" state="frozen"/>
      <selection activeCell="E16" sqref="E16"/>
      <selection pane="bottomLeft" activeCell="A12" sqref="A12"/>
    </sheetView>
  </sheetViews>
  <sheetFormatPr defaultRowHeight="15"/>
  <cols>
    <col min="2" max="2" width="45.6640625" customWidth="1"/>
    <col min="3" max="3" width="11.33203125" customWidth="1"/>
    <col min="4" max="4" width="10.44140625" customWidth="1"/>
    <col min="8" max="9" width="11.5546875" customWidth="1"/>
    <col min="10" max="10" width="0.6640625" customWidth="1"/>
    <col min="11" max="11" width="14.88671875" customWidth="1"/>
    <col min="12" max="12" width="10.109375" customWidth="1"/>
    <col min="13" max="13" width="10.6640625" bestFit="1" customWidth="1"/>
  </cols>
  <sheetData>
    <row r="1" spans="1:11" ht="17.25">
      <c r="A1" s="75">
        <f>Summary!D10</f>
        <v>2020</v>
      </c>
      <c r="B1" s="75" t="s">
        <v>76</v>
      </c>
      <c r="C1" s="76"/>
      <c r="D1" s="76"/>
      <c r="E1" s="45"/>
      <c r="F1" s="46"/>
      <c r="G1" s="1"/>
      <c r="H1" s="47"/>
      <c r="I1" s="48"/>
    </row>
    <row r="2" spans="1:11">
      <c r="I2" s="48"/>
    </row>
    <row r="3" spans="1:11" ht="15.75">
      <c r="A3" s="112" t="s">
        <v>83</v>
      </c>
      <c r="B3" s="112"/>
      <c r="C3" s="112"/>
      <c r="D3" s="112"/>
      <c r="E3" s="112"/>
      <c r="F3" s="112"/>
      <c r="G3" s="112"/>
      <c r="H3" s="47"/>
      <c r="I3" s="48"/>
    </row>
    <row r="4" spans="1:11" ht="15.75">
      <c r="A4" s="112" t="s">
        <v>84</v>
      </c>
      <c r="B4" s="112"/>
      <c r="C4" s="112"/>
      <c r="D4" s="112"/>
      <c r="E4" s="112"/>
      <c r="F4" s="112"/>
      <c r="G4" s="112"/>
      <c r="H4" s="47"/>
      <c r="I4" s="48"/>
    </row>
    <row r="5" spans="1:11" ht="15.75">
      <c r="A5" s="113" t="s">
        <v>56</v>
      </c>
      <c r="B5" s="113"/>
      <c r="C5" s="113"/>
      <c r="D5" s="113"/>
      <c r="E5" s="113"/>
      <c r="F5" s="113"/>
      <c r="G5" s="113"/>
      <c r="H5" s="47"/>
      <c r="I5" s="48"/>
    </row>
    <row r="6" spans="1:11" ht="15.75">
      <c r="A6" s="112" t="s">
        <v>85</v>
      </c>
      <c r="B6" s="112"/>
      <c r="C6" s="112"/>
      <c r="D6" s="112"/>
      <c r="E6" s="112"/>
      <c r="F6" s="112"/>
      <c r="G6" s="112"/>
      <c r="H6" s="114"/>
      <c r="I6" s="48"/>
      <c r="J6" s="82"/>
    </row>
    <row r="7" spans="1:11" ht="15.75">
      <c r="A7" s="134" t="s">
        <v>86</v>
      </c>
      <c r="B7" s="134"/>
      <c r="C7" s="134"/>
      <c r="D7" s="134"/>
      <c r="E7" s="134"/>
      <c r="F7" s="134"/>
      <c r="G7" s="134"/>
      <c r="I7" s="115"/>
    </row>
    <row r="8" spans="1:11">
      <c r="J8" s="83"/>
    </row>
    <row r="9" spans="1:11" ht="17.25">
      <c r="A9" s="97" t="s">
        <v>70</v>
      </c>
      <c r="B9" s="98" t="s">
        <v>57</v>
      </c>
      <c r="C9" s="74">
        <v>8</v>
      </c>
      <c r="D9" s="49"/>
      <c r="E9" s="49"/>
      <c r="F9" s="46"/>
      <c r="G9" s="1"/>
      <c r="H9" s="47"/>
      <c r="I9" s="48"/>
      <c r="J9" s="83"/>
    </row>
    <row r="10" spans="1:11" ht="18" thickBot="1">
      <c r="A10" s="2"/>
      <c r="B10" s="84"/>
      <c r="C10" s="58" t="s">
        <v>58</v>
      </c>
      <c r="D10" s="50" t="s">
        <v>59</v>
      </c>
      <c r="E10" s="50" t="s">
        <v>59</v>
      </c>
      <c r="F10" s="61" t="s">
        <v>58</v>
      </c>
      <c r="G10" s="47" t="s">
        <v>59</v>
      </c>
      <c r="H10" s="47" t="s">
        <v>59</v>
      </c>
      <c r="I10" s="61" t="s">
        <v>58</v>
      </c>
    </row>
    <row r="11" spans="1:11" ht="16.5" thickBot="1">
      <c r="A11" s="85"/>
      <c r="B11" s="85"/>
      <c r="C11" s="59">
        <v>3</v>
      </c>
      <c r="D11" s="51">
        <v>4</v>
      </c>
      <c r="E11" s="73">
        <v>5</v>
      </c>
      <c r="F11" s="62">
        <v>6</v>
      </c>
      <c r="G11" s="52">
        <v>7</v>
      </c>
      <c r="H11" s="72">
        <v>8</v>
      </c>
      <c r="I11" s="99">
        <v>9</v>
      </c>
    </row>
    <row r="12" spans="1:11" ht="15.75">
      <c r="A12" s="86" t="s">
        <v>78</v>
      </c>
      <c r="B12" s="87" t="s">
        <v>60</v>
      </c>
      <c r="C12" s="60" t="s">
        <v>61</v>
      </c>
      <c r="D12" s="100" t="s">
        <v>62</v>
      </c>
      <c r="E12" s="101" t="s">
        <v>77</v>
      </c>
      <c r="F12" s="102" t="s">
        <v>64</v>
      </c>
      <c r="G12" s="103" t="s">
        <v>65</v>
      </c>
      <c r="H12" s="101" t="s">
        <v>63</v>
      </c>
      <c r="I12" s="104" t="s">
        <v>8</v>
      </c>
      <c r="J12" s="70"/>
    </row>
    <row r="13" spans="1:11" ht="16.5" thickBot="1">
      <c r="A13" s="88" t="s">
        <v>79</v>
      </c>
      <c r="B13" s="89"/>
      <c r="C13" s="105" t="s">
        <v>66</v>
      </c>
      <c r="D13" s="106" t="s">
        <v>67</v>
      </c>
      <c r="E13" s="107">
        <f>I13</f>
        <v>2019</v>
      </c>
      <c r="F13" s="108" t="s">
        <v>68</v>
      </c>
      <c r="G13" s="109" t="s">
        <v>68</v>
      </c>
      <c r="H13" s="110">
        <f>A1</f>
        <v>2020</v>
      </c>
      <c r="I13" s="111">
        <f>Summary!C10</f>
        <v>2019</v>
      </c>
      <c r="J13" s="70"/>
    </row>
    <row r="14" spans="1:11" ht="17.25">
      <c r="A14" s="90"/>
      <c r="B14" s="54"/>
      <c r="C14" s="77"/>
      <c r="D14" s="77"/>
      <c r="E14" s="78"/>
      <c r="F14" s="116"/>
      <c r="G14" s="79"/>
      <c r="H14" s="80"/>
      <c r="I14" s="81"/>
    </row>
    <row r="15" spans="1:11" ht="17.25">
      <c r="A15" s="158">
        <v>7010</v>
      </c>
      <c r="B15" s="245" t="s">
        <v>139</v>
      </c>
      <c r="C15" s="55">
        <v>1081.68</v>
      </c>
      <c r="D15" s="55">
        <f t="shared" ref="D15:D41" si="0">C15/YTDMN</f>
        <v>135.21</v>
      </c>
      <c r="E15" s="250">
        <f t="shared" ref="E15:E41" si="1">D15*12</f>
        <v>1622.52</v>
      </c>
      <c r="F15" s="116">
        <v>3</v>
      </c>
      <c r="G15" s="56">
        <f t="shared" ref="G15:G44" si="2">F15/100*E15</f>
        <v>48.675599999999996</v>
      </c>
      <c r="H15" s="250">
        <f>E15+G15-71</f>
        <v>1600.1956</v>
      </c>
      <c r="I15" s="194">
        <v>1200</v>
      </c>
    </row>
    <row r="16" spans="1:11" ht="17.25">
      <c r="A16" s="243">
        <v>7020</v>
      </c>
      <c r="B16" s="244" t="s">
        <v>135</v>
      </c>
      <c r="C16" s="55">
        <v>2367</v>
      </c>
      <c r="D16" s="55">
        <f t="shared" si="0"/>
        <v>295.875</v>
      </c>
      <c r="E16" s="250">
        <f t="shared" si="1"/>
        <v>3550.5</v>
      </c>
      <c r="F16" s="116"/>
      <c r="G16" s="56">
        <f t="shared" si="2"/>
        <v>0</v>
      </c>
      <c r="H16" s="254">
        <f>3000+1000</f>
        <v>4000</v>
      </c>
      <c r="I16" s="255">
        <v>3000</v>
      </c>
      <c r="K16" t="s">
        <v>157</v>
      </c>
    </row>
    <row r="17" spans="1:16" ht="17.25">
      <c r="A17" s="19">
        <v>7050</v>
      </c>
      <c r="B17" s="19" t="s">
        <v>140</v>
      </c>
      <c r="C17" s="55">
        <v>3174.79</v>
      </c>
      <c r="D17" s="55">
        <f t="shared" si="0"/>
        <v>396.84875</v>
      </c>
      <c r="E17" s="250">
        <f t="shared" si="1"/>
        <v>4762.1849999999995</v>
      </c>
      <c r="F17" s="116">
        <v>3</v>
      </c>
      <c r="G17" s="56">
        <f t="shared" si="2"/>
        <v>142.86554999999998</v>
      </c>
      <c r="H17" s="250">
        <f>E17+G17-1405</f>
        <v>3500.0505499999999</v>
      </c>
      <c r="I17" s="195">
        <v>2600</v>
      </c>
      <c r="K17" t="s">
        <v>159</v>
      </c>
    </row>
    <row r="18" spans="1:16" ht="17.25">
      <c r="A18" s="19">
        <v>7140</v>
      </c>
      <c r="B18" s="19" t="s">
        <v>170</v>
      </c>
      <c r="C18" s="55">
        <v>4323</v>
      </c>
      <c r="D18" s="55">
        <f t="shared" si="0"/>
        <v>540.375</v>
      </c>
      <c r="E18" s="250">
        <f t="shared" si="1"/>
        <v>6484.5</v>
      </c>
      <c r="F18" s="116"/>
      <c r="G18" s="56">
        <f t="shared" si="2"/>
        <v>0</v>
      </c>
      <c r="H18" s="254">
        <f>4500-3000</f>
        <v>1500</v>
      </c>
      <c r="I18" s="256">
        <v>1000</v>
      </c>
    </row>
    <row r="19" spans="1:16" ht="17.25">
      <c r="A19" s="19">
        <v>7150</v>
      </c>
      <c r="B19" s="19" t="s">
        <v>12</v>
      </c>
      <c r="C19" s="55">
        <v>12446.05</v>
      </c>
      <c r="D19" s="55">
        <f>C19/YTDMN</f>
        <v>1555.7562499999999</v>
      </c>
      <c r="E19" s="250">
        <f>D19*12</f>
        <v>18669.074999999997</v>
      </c>
      <c r="F19" s="116">
        <v>10</v>
      </c>
      <c r="G19" s="56">
        <f t="shared" si="2"/>
        <v>1866.9074999999998</v>
      </c>
      <c r="H19" s="250">
        <f>21535-35</f>
        <v>21500</v>
      </c>
      <c r="I19" s="195">
        <v>19500</v>
      </c>
      <c r="K19" s="249"/>
      <c r="L19" s="249"/>
      <c r="M19" s="249"/>
    </row>
    <row r="20" spans="1:16" ht="17.25">
      <c r="A20" s="19">
        <v>7210</v>
      </c>
      <c r="B20" s="19" t="s">
        <v>112</v>
      </c>
      <c r="C20" s="55">
        <v>900</v>
      </c>
      <c r="D20" s="55">
        <f t="shared" si="0"/>
        <v>112.5</v>
      </c>
      <c r="E20" s="250">
        <f t="shared" si="1"/>
        <v>1350</v>
      </c>
      <c r="F20" s="116"/>
      <c r="G20" s="56">
        <f t="shared" si="2"/>
        <v>0</v>
      </c>
      <c r="H20" s="250">
        <f>1800-300</f>
        <v>1500</v>
      </c>
      <c r="I20" s="195">
        <v>1500</v>
      </c>
      <c r="K20" t="s">
        <v>160</v>
      </c>
    </row>
    <row r="21" spans="1:16" ht="17.25">
      <c r="A21" s="19">
        <v>7225</v>
      </c>
      <c r="B21" s="19" t="s">
        <v>134</v>
      </c>
      <c r="C21" s="55">
        <v>0</v>
      </c>
      <c r="D21" s="55">
        <f t="shared" si="0"/>
        <v>0</v>
      </c>
      <c r="E21" s="250">
        <f t="shared" si="1"/>
        <v>0</v>
      </c>
      <c r="F21" s="116"/>
      <c r="G21" s="56">
        <f t="shared" si="2"/>
        <v>0</v>
      </c>
      <c r="H21" s="250">
        <f>5000</f>
        <v>5000</v>
      </c>
      <c r="I21" s="195">
        <v>6075</v>
      </c>
      <c r="K21" s="248" t="s">
        <v>146</v>
      </c>
      <c r="P21" t="s">
        <v>158</v>
      </c>
    </row>
    <row r="22" spans="1:16" ht="17.25">
      <c r="A22" s="19">
        <v>7240</v>
      </c>
      <c r="B22" s="19" t="s">
        <v>148</v>
      </c>
      <c r="C22" s="55">
        <v>13450</v>
      </c>
      <c r="D22" s="55">
        <f t="shared" si="0"/>
        <v>1681.25</v>
      </c>
      <c r="E22" s="250">
        <f t="shared" si="1"/>
        <v>20175</v>
      </c>
      <c r="F22" s="116">
        <v>2</v>
      </c>
      <c r="G22" s="56">
        <f t="shared" si="2"/>
        <v>403.5</v>
      </c>
      <c r="H22" s="250">
        <f>E22+G22+1921</f>
        <v>22499.5</v>
      </c>
      <c r="I22" s="195">
        <v>20275</v>
      </c>
      <c r="K22" t="s">
        <v>168</v>
      </c>
    </row>
    <row r="23" spans="1:16" ht="17.25">
      <c r="A23" s="19">
        <v>7245</v>
      </c>
      <c r="B23" s="19" t="s">
        <v>149</v>
      </c>
      <c r="C23" s="55"/>
      <c r="D23" s="55">
        <f t="shared" si="0"/>
        <v>0</v>
      </c>
      <c r="E23" s="250">
        <f t="shared" si="1"/>
        <v>0</v>
      </c>
      <c r="F23" s="116"/>
      <c r="G23" s="56">
        <f t="shared" si="2"/>
        <v>0</v>
      </c>
      <c r="H23" s="250">
        <f>4000+4000</f>
        <v>8000</v>
      </c>
      <c r="I23" s="195">
        <v>4000</v>
      </c>
    </row>
    <row r="24" spans="1:16" ht="17.25">
      <c r="A24" s="19">
        <v>7255</v>
      </c>
      <c r="B24" s="19" t="s">
        <v>133</v>
      </c>
      <c r="C24" s="55"/>
      <c r="D24" s="55">
        <f t="shared" si="0"/>
        <v>0</v>
      </c>
      <c r="E24" s="250">
        <f t="shared" si="1"/>
        <v>0</v>
      </c>
      <c r="F24" s="116"/>
      <c r="G24" s="56">
        <f t="shared" si="2"/>
        <v>0</v>
      </c>
      <c r="H24" s="250">
        <v>4500</v>
      </c>
      <c r="I24" s="195">
        <v>4500</v>
      </c>
    </row>
    <row r="25" spans="1:16" ht="17.25">
      <c r="A25" s="19">
        <v>7270</v>
      </c>
      <c r="B25" s="19" t="s">
        <v>126</v>
      </c>
      <c r="C25" s="55"/>
      <c r="D25" s="55">
        <f t="shared" si="0"/>
        <v>0</v>
      </c>
      <c r="E25" s="250">
        <f t="shared" si="1"/>
        <v>0</v>
      </c>
      <c r="F25" s="116"/>
      <c r="G25" s="56" t="s">
        <v>161</v>
      </c>
      <c r="H25" s="250">
        <v>2000</v>
      </c>
      <c r="I25" s="195">
        <v>2000</v>
      </c>
    </row>
    <row r="26" spans="1:16" ht="17.25">
      <c r="A26" s="19">
        <v>7280</v>
      </c>
      <c r="B26" s="19" t="s">
        <v>127</v>
      </c>
      <c r="C26" s="55">
        <v>672.83</v>
      </c>
      <c r="D26" s="55">
        <f t="shared" si="0"/>
        <v>84.103750000000005</v>
      </c>
      <c r="E26" s="250">
        <f t="shared" si="1"/>
        <v>1009.2450000000001</v>
      </c>
      <c r="F26" s="116"/>
      <c r="G26" s="56">
        <f t="shared" si="2"/>
        <v>0</v>
      </c>
      <c r="H26" s="250">
        <f>E26+G26-9</f>
        <v>1000.2450000000001</v>
      </c>
      <c r="I26" s="195">
        <v>1000</v>
      </c>
    </row>
    <row r="27" spans="1:16" ht="17.25">
      <c r="A27" s="19">
        <v>7310</v>
      </c>
      <c r="B27" s="19" t="s">
        <v>150</v>
      </c>
      <c r="C27" s="55">
        <v>2120</v>
      </c>
      <c r="D27" s="55">
        <f t="shared" si="0"/>
        <v>265</v>
      </c>
      <c r="E27" s="250">
        <f t="shared" si="1"/>
        <v>3180</v>
      </c>
      <c r="F27" s="116"/>
      <c r="G27" s="56">
        <f t="shared" si="2"/>
        <v>0</v>
      </c>
      <c r="H27" s="250">
        <f t="shared" ref="H27:H41" si="3">E27+G27</f>
        <v>3180</v>
      </c>
      <c r="I27" s="195">
        <v>3180</v>
      </c>
      <c r="K27">
        <f>SUM(265*12)</f>
        <v>3180</v>
      </c>
      <c r="L27" s="248" t="s">
        <v>147</v>
      </c>
    </row>
    <row r="28" spans="1:16" ht="17.25">
      <c r="A28" s="19">
        <v>7320</v>
      </c>
      <c r="B28" s="19" t="s">
        <v>137</v>
      </c>
      <c r="C28" s="55"/>
      <c r="D28" s="55">
        <f t="shared" si="0"/>
        <v>0</v>
      </c>
      <c r="E28" s="250">
        <f t="shared" si="1"/>
        <v>0</v>
      </c>
      <c r="F28" s="116">
        <v>0</v>
      </c>
      <c r="G28" s="56">
        <f t="shared" si="2"/>
        <v>0</v>
      </c>
      <c r="H28" s="250">
        <f t="shared" si="3"/>
        <v>0</v>
      </c>
      <c r="I28" s="195">
        <v>2500</v>
      </c>
      <c r="K28" t="s">
        <v>161</v>
      </c>
    </row>
    <row r="29" spans="1:16" ht="17.25">
      <c r="A29" s="19">
        <v>7330</v>
      </c>
      <c r="B29" s="19" t="s">
        <v>136</v>
      </c>
      <c r="C29" s="55">
        <v>557.41</v>
      </c>
      <c r="D29" s="55">
        <f t="shared" si="0"/>
        <v>69.676249999999996</v>
      </c>
      <c r="E29" s="250">
        <f t="shared" si="1"/>
        <v>836.11500000000001</v>
      </c>
      <c r="F29" s="116"/>
      <c r="G29" s="56">
        <f t="shared" si="2"/>
        <v>0</v>
      </c>
      <c r="H29" s="250">
        <v>1000</v>
      </c>
      <c r="I29" s="195">
        <v>1500</v>
      </c>
    </row>
    <row r="30" spans="1:16" ht="17.25">
      <c r="A30" s="19">
        <v>7340</v>
      </c>
      <c r="B30" s="19" t="s">
        <v>138</v>
      </c>
      <c r="C30" s="55">
        <v>2823.62</v>
      </c>
      <c r="D30" s="55">
        <f t="shared" si="0"/>
        <v>352.95249999999999</v>
      </c>
      <c r="E30" s="250">
        <f t="shared" si="1"/>
        <v>4235.43</v>
      </c>
      <c r="F30" s="116"/>
      <c r="G30" s="56">
        <f t="shared" si="2"/>
        <v>0</v>
      </c>
      <c r="H30" s="250">
        <v>4200</v>
      </c>
      <c r="I30" s="195">
        <v>4000</v>
      </c>
    </row>
    <row r="31" spans="1:16" ht="17.25">
      <c r="A31" s="19">
        <v>7350</v>
      </c>
      <c r="B31" s="19" t="s">
        <v>119</v>
      </c>
      <c r="C31" s="55">
        <f>6934.3-1500</f>
        <v>5434.3</v>
      </c>
      <c r="D31" s="55">
        <f t="shared" si="0"/>
        <v>679.28750000000002</v>
      </c>
      <c r="E31" s="250">
        <f t="shared" si="1"/>
        <v>8151.4500000000007</v>
      </c>
      <c r="F31" s="116"/>
      <c r="G31" s="56">
        <f t="shared" si="2"/>
        <v>0</v>
      </c>
      <c r="H31" s="254">
        <v>6000</v>
      </c>
      <c r="I31" s="256">
        <v>5800</v>
      </c>
    </row>
    <row r="32" spans="1:16" ht="17.25">
      <c r="A32" s="19">
        <v>7395</v>
      </c>
      <c r="B32" s="19" t="s">
        <v>151</v>
      </c>
      <c r="C32" s="55">
        <f>1600+1500</f>
        <v>3100</v>
      </c>
      <c r="D32" s="55">
        <f t="shared" si="0"/>
        <v>387.5</v>
      </c>
      <c r="E32" s="250">
        <f t="shared" ref="E32" si="4">D32*12</f>
        <v>4650</v>
      </c>
      <c r="F32" s="116"/>
      <c r="G32" s="56">
        <f t="shared" ref="G32" si="5">F32/100*E32</f>
        <v>0</v>
      </c>
      <c r="H32" s="254">
        <f>2000+4000</f>
        <v>6000</v>
      </c>
      <c r="I32" s="256">
        <v>6000</v>
      </c>
    </row>
    <row r="33" spans="1:15" ht="17.25">
      <c r="A33" s="19">
        <v>7400</v>
      </c>
      <c r="B33" s="19" t="s">
        <v>152</v>
      </c>
      <c r="C33" s="55">
        <v>1525</v>
      </c>
      <c r="D33" s="55">
        <f t="shared" ref="D33" si="6">C33/YTDMN</f>
        <v>190.625</v>
      </c>
      <c r="E33" s="250">
        <f t="shared" ref="E33" si="7">D33*12</f>
        <v>2287.5</v>
      </c>
      <c r="F33" s="116"/>
      <c r="G33" s="56" t="s">
        <v>169</v>
      </c>
      <c r="H33" s="250">
        <v>2580</v>
      </c>
      <c r="I33" s="195">
        <v>2580</v>
      </c>
      <c r="K33" t="s">
        <v>162</v>
      </c>
    </row>
    <row r="34" spans="1:15" ht="17.25">
      <c r="A34" s="19">
        <v>7460</v>
      </c>
      <c r="B34" s="19" t="s">
        <v>141</v>
      </c>
      <c r="C34" s="55"/>
      <c r="D34" s="55">
        <f t="shared" si="0"/>
        <v>0</v>
      </c>
      <c r="E34" s="250">
        <f t="shared" si="1"/>
        <v>0</v>
      </c>
      <c r="F34" s="116"/>
      <c r="G34" s="56">
        <f t="shared" si="2"/>
        <v>0</v>
      </c>
      <c r="H34" s="250">
        <v>3000</v>
      </c>
      <c r="I34" s="195">
        <v>1200</v>
      </c>
      <c r="K34" s="253" t="s">
        <v>163</v>
      </c>
      <c r="L34" s="253"/>
      <c r="M34" s="253"/>
      <c r="N34" s="253"/>
      <c r="O34" s="253"/>
    </row>
    <row r="35" spans="1:15" ht="17.25">
      <c r="A35" s="19">
        <v>7470</v>
      </c>
      <c r="B35" s="19" t="s">
        <v>124</v>
      </c>
      <c r="C35" s="55">
        <v>250</v>
      </c>
      <c r="D35" s="55">
        <f t="shared" si="0"/>
        <v>31.25</v>
      </c>
      <c r="E35" s="250">
        <f t="shared" si="1"/>
        <v>375</v>
      </c>
      <c r="F35" s="116"/>
      <c r="G35" s="56">
        <f t="shared" si="2"/>
        <v>0</v>
      </c>
      <c r="H35" s="250">
        <v>250</v>
      </c>
      <c r="I35" s="195">
        <v>250</v>
      </c>
    </row>
    <row r="36" spans="1:15" ht="17.25">
      <c r="A36" s="19">
        <v>7480</v>
      </c>
      <c r="B36" s="19" t="s">
        <v>111</v>
      </c>
      <c r="C36" s="55">
        <v>4800</v>
      </c>
      <c r="D36" s="55">
        <f t="shared" si="0"/>
        <v>600</v>
      </c>
      <c r="E36" s="250">
        <f t="shared" si="1"/>
        <v>7200</v>
      </c>
      <c r="F36" s="116">
        <v>3</v>
      </c>
      <c r="G36" s="56">
        <f t="shared" si="2"/>
        <v>216</v>
      </c>
      <c r="H36" s="250">
        <f>E36+G36</f>
        <v>7416</v>
      </c>
      <c r="I36" s="195">
        <v>7805</v>
      </c>
    </row>
    <row r="37" spans="1:15" ht="17.25">
      <c r="A37" s="19">
        <v>7490</v>
      </c>
      <c r="B37" s="19" t="s">
        <v>154</v>
      </c>
      <c r="C37" s="55">
        <v>1509.17</v>
      </c>
      <c r="D37" s="55">
        <f t="shared" si="0"/>
        <v>188.64625000000001</v>
      </c>
      <c r="E37" s="250">
        <f t="shared" si="1"/>
        <v>2263.7550000000001</v>
      </c>
      <c r="F37" s="116"/>
      <c r="G37" s="56">
        <f t="shared" si="2"/>
        <v>0</v>
      </c>
      <c r="H37" s="250">
        <v>2000</v>
      </c>
      <c r="I37" s="195">
        <v>1000</v>
      </c>
    </row>
    <row r="38" spans="1:15" ht="17.25">
      <c r="A38" s="19">
        <v>7495</v>
      </c>
      <c r="B38" s="19" t="s">
        <v>143</v>
      </c>
      <c r="C38" s="55">
        <v>25.75</v>
      </c>
      <c r="D38" s="55">
        <f t="shared" si="0"/>
        <v>3.21875</v>
      </c>
      <c r="E38" s="250">
        <f t="shared" si="1"/>
        <v>38.625</v>
      </c>
      <c r="F38" s="116"/>
      <c r="G38" s="56">
        <f t="shared" si="2"/>
        <v>0</v>
      </c>
      <c r="H38" s="250">
        <v>336</v>
      </c>
      <c r="I38" s="195">
        <v>250</v>
      </c>
      <c r="K38" s="249" t="s">
        <v>164</v>
      </c>
    </row>
    <row r="39" spans="1:15" ht="17.25">
      <c r="A39" s="19">
        <v>7500</v>
      </c>
      <c r="B39" s="19" t="s">
        <v>153</v>
      </c>
      <c r="C39" s="55">
        <v>125</v>
      </c>
      <c r="D39" s="55">
        <f t="shared" si="0"/>
        <v>15.625</v>
      </c>
      <c r="E39" s="250">
        <f t="shared" si="1"/>
        <v>187.5</v>
      </c>
      <c r="F39" s="116"/>
      <c r="G39" s="56">
        <f t="shared" si="2"/>
        <v>0</v>
      </c>
      <c r="H39" s="250">
        <v>191.25</v>
      </c>
      <c r="I39" s="195">
        <v>185</v>
      </c>
      <c r="K39" t="s">
        <v>165</v>
      </c>
    </row>
    <row r="40" spans="1:15" ht="17.25">
      <c r="A40" s="19">
        <v>7510</v>
      </c>
      <c r="B40" s="19" t="s">
        <v>142</v>
      </c>
      <c r="C40" s="55">
        <v>195</v>
      </c>
      <c r="D40" s="55">
        <f t="shared" si="0"/>
        <v>24.375</v>
      </c>
      <c r="E40" s="250">
        <f t="shared" si="1"/>
        <v>292.5</v>
      </c>
      <c r="F40" s="116"/>
      <c r="G40" s="56">
        <f t="shared" si="2"/>
        <v>0</v>
      </c>
      <c r="H40" s="250">
        <v>192</v>
      </c>
      <c r="I40" s="195">
        <v>195</v>
      </c>
      <c r="K40" t="s">
        <v>166</v>
      </c>
    </row>
    <row r="41" spans="1:15" ht="17.25">
      <c r="A41" s="19">
        <v>7999</v>
      </c>
      <c r="B41" s="19" t="s">
        <v>117</v>
      </c>
      <c r="C41" s="55"/>
      <c r="D41" s="55">
        <f t="shared" si="0"/>
        <v>0</v>
      </c>
      <c r="E41" s="250">
        <f t="shared" si="1"/>
        <v>0</v>
      </c>
      <c r="F41" s="116"/>
      <c r="G41" s="56">
        <f t="shared" si="2"/>
        <v>0</v>
      </c>
      <c r="H41" s="250">
        <f t="shared" si="3"/>
        <v>0</v>
      </c>
      <c r="I41" s="195">
        <v>0</v>
      </c>
    </row>
    <row r="42" spans="1:15" ht="17.25">
      <c r="A42" s="53"/>
      <c r="B42" s="53"/>
      <c r="C42" s="55"/>
      <c r="D42" s="55"/>
      <c r="E42" s="246"/>
      <c r="F42" s="116"/>
      <c r="G42" s="56"/>
      <c r="H42" s="246"/>
      <c r="I42" s="64"/>
    </row>
    <row r="43" spans="1:15" ht="17.25">
      <c r="A43" s="53"/>
      <c r="B43" s="53"/>
      <c r="C43" s="55"/>
      <c r="D43" s="55"/>
      <c r="E43" s="246"/>
      <c r="F43" s="116"/>
      <c r="G43" s="56"/>
      <c r="H43" s="246"/>
      <c r="I43" s="64"/>
    </row>
    <row r="44" spans="1:15" ht="17.25">
      <c r="A44" s="53"/>
      <c r="B44" s="57" t="s">
        <v>69</v>
      </c>
      <c r="C44" s="55">
        <f>SUM(C15:C42)</f>
        <v>60880.600000000013</v>
      </c>
      <c r="D44" s="55">
        <f>SUM(D14:D42)</f>
        <v>7610.0750000000016</v>
      </c>
      <c r="E44" s="246">
        <f>SUM(E15:E42)</f>
        <v>91320.900000000009</v>
      </c>
      <c r="F44" s="116"/>
      <c r="G44" s="56">
        <f t="shared" si="2"/>
        <v>0</v>
      </c>
      <c r="H44" s="246">
        <f>SUM(H15:H42)</f>
        <v>112945.24114999999</v>
      </c>
      <c r="I44" s="63">
        <f>SUM(I15:I42)</f>
        <v>103095</v>
      </c>
    </row>
    <row r="45" spans="1:15">
      <c r="A45" s="91"/>
      <c r="E45" s="69" t="s">
        <v>71</v>
      </c>
      <c r="F45" s="116"/>
      <c r="H45" s="247" t="s">
        <v>71</v>
      </c>
      <c r="I45" s="67"/>
      <c r="J45" s="68"/>
    </row>
    <row r="46" spans="1:15">
      <c r="E46" s="71" t="s">
        <v>71</v>
      </c>
      <c r="F46" s="92" t="s">
        <v>75</v>
      </c>
      <c r="G46" s="93" t="s">
        <v>72</v>
      </c>
      <c r="H46" s="94"/>
      <c r="I46" s="95"/>
      <c r="J46" s="96"/>
    </row>
    <row r="47" spans="1:15" ht="15.75">
      <c r="B47" s="117" t="s">
        <v>80</v>
      </c>
      <c r="G47" s="118" t="s">
        <v>73</v>
      </c>
      <c r="H47" s="119"/>
      <c r="I47" s="120"/>
      <c r="J47" s="96"/>
    </row>
    <row r="48" spans="1:15">
      <c r="G48" s="118" t="s">
        <v>74</v>
      </c>
      <c r="H48" s="119"/>
      <c r="I48" s="120"/>
      <c r="J48" s="96"/>
    </row>
    <row r="49" spans="1:10" ht="15.75">
      <c r="A49" s="121" t="s">
        <v>87</v>
      </c>
      <c r="B49" s="122"/>
      <c r="C49" s="123"/>
      <c r="D49" s="123"/>
      <c r="E49" s="123"/>
      <c r="F49" s="124"/>
      <c r="G49" s="125" t="s">
        <v>81</v>
      </c>
      <c r="H49" s="119"/>
      <c r="I49" s="120"/>
      <c r="J49" s="96"/>
    </row>
    <row r="50" spans="1:10">
      <c r="A50" s="121" t="s">
        <v>82</v>
      </c>
      <c r="B50" s="121"/>
      <c r="C50" s="121"/>
      <c r="D50" s="121"/>
      <c r="E50" s="121"/>
      <c r="F50" s="121"/>
      <c r="G50" s="118" t="s">
        <v>88</v>
      </c>
      <c r="H50" s="119"/>
      <c r="I50" s="120"/>
      <c r="J50" s="96"/>
    </row>
    <row r="51" spans="1:10">
      <c r="A51" s="121" t="s">
        <v>89</v>
      </c>
      <c r="B51" s="121"/>
      <c r="C51" s="121"/>
      <c r="D51" s="121"/>
      <c r="E51" s="121"/>
      <c r="F51" s="121"/>
      <c r="G51" s="118" t="s">
        <v>90</v>
      </c>
      <c r="H51" s="119"/>
      <c r="I51" s="120"/>
      <c r="J51" s="96"/>
    </row>
    <row r="52" spans="1:10">
      <c r="A52" s="121" t="s">
        <v>91</v>
      </c>
      <c r="B52" s="121"/>
      <c r="C52" s="121"/>
      <c r="D52" s="121"/>
      <c r="E52" s="121"/>
      <c r="F52" s="121"/>
      <c r="G52" s="118" t="s">
        <v>92</v>
      </c>
      <c r="H52" s="119"/>
      <c r="I52" s="120"/>
      <c r="J52" s="96"/>
    </row>
    <row r="53" spans="1:10">
      <c r="A53" s="121" t="s">
        <v>93</v>
      </c>
      <c r="B53" s="121"/>
      <c r="C53" s="121"/>
      <c r="D53" s="121"/>
      <c r="E53" s="121"/>
      <c r="F53" s="121"/>
      <c r="G53" s="118" t="s">
        <v>94</v>
      </c>
      <c r="H53" s="119"/>
      <c r="I53" s="120"/>
      <c r="J53" s="96"/>
    </row>
    <row r="54" spans="1:10">
      <c r="A54" s="121" t="s">
        <v>95</v>
      </c>
      <c r="B54" s="121"/>
      <c r="C54" s="121"/>
      <c r="D54" s="121"/>
      <c r="E54" s="121"/>
      <c r="F54" s="121"/>
      <c r="G54" s="118" t="s">
        <v>96</v>
      </c>
      <c r="H54" s="119"/>
      <c r="I54" s="120"/>
      <c r="J54" s="96"/>
    </row>
    <row r="55" spans="1:10">
      <c r="A55" s="126"/>
      <c r="B55" s="126"/>
      <c r="C55" s="126"/>
      <c r="D55" s="126"/>
      <c r="E55" s="126"/>
      <c r="F55" s="127"/>
      <c r="G55" s="128"/>
      <c r="H55" s="128"/>
      <c r="I55" s="129"/>
      <c r="J55" s="96"/>
    </row>
    <row r="56" spans="1:10">
      <c r="A56" s="262" t="s">
        <v>97</v>
      </c>
      <c r="B56" s="130" t="s">
        <v>98</v>
      </c>
      <c r="C56" s="128"/>
      <c r="D56" s="128"/>
      <c r="E56" s="128"/>
      <c r="F56" s="128"/>
      <c r="G56" s="128"/>
      <c r="H56" s="128"/>
      <c r="I56" s="129"/>
    </row>
    <row r="57" spans="1:10">
      <c r="A57" s="263"/>
      <c r="B57" s="131" t="s">
        <v>99</v>
      </c>
      <c r="C57" s="131"/>
      <c r="D57" s="132"/>
      <c r="E57" s="132"/>
      <c r="F57" s="132"/>
      <c r="G57" s="132"/>
      <c r="H57" s="132"/>
      <c r="I57" s="133"/>
    </row>
  </sheetData>
  <mergeCells count="1">
    <mergeCell ref="A56:A57"/>
  </mergeCells>
  <phoneticPr fontId="0" type="noConversion"/>
  <printOptions gridLines="1"/>
  <pageMargins left="0.74" right="0.7" top="0.22" bottom="0.37" header="0.24" footer="0.3"/>
  <pageSetup scale="70" orientation="portrait" horizontalDpi="1200" verticalDpi="12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20</vt:i4>
      </vt:variant>
    </vt:vector>
  </HeadingPairs>
  <TitlesOfParts>
    <vt:vector size="24" baseType="lpstr">
      <vt:lpstr>Summary</vt:lpstr>
      <vt:lpstr>Schedule A</vt:lpstr>
      <vt:lpstr>Reserves</vt:lpstr>
      <vt:lpstr>WORKSHEET</vt:lpstr>
      <vt:lpstr>_1SCH_A_NO_RES</vt:lpstr>
      <vt:lpstr>_2SCHEDULE_A</vt:lpstr>
      <vt:lpstr>_3SCHEDULE_A_WS</vt:lpstr>
      <vt:lpstr>_4SUMMARY_WS</vt:lpstr>
      <vt:lpstr>CYEX</vt:lpstr>
      <vt:lpstr>EEXP</vt:lpstr>
      <vt:lpstr>FREQ</vt:lpstr>
      <vt:lpstr>INFPCT</vt:lpstr>
      <vt:lpstr>NUN</vt:lpstr>
      <vt:lpstr>PF</vt:lpstr>
      <vt:lpstr>Reserves!Print_Area</vt:lpstr>
      <vt:lpstr>'Schedule A'!Print_Area</vt:lpstr>
      <vt:lpstr>Summary!Print_Area</vt:lpstr>
      <vt:lpstr>WORKSHEET!Print_Area</vt:lpstr>
      <vt:lpstr>Print_Area</vt:lpstr>
      <vt:lpstr>PYEX</vt:lpstr>
      <vt:lpstr>RESERVES</vt:lpstr>
      <vt:lpstr>RESERVES_M</vt:lpstr>
      <vt:lpstr>SUMMARY</vt:lpstr>
      <vt:lpstr>YTDMN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sjones</dc:creator>
  <cp:lastModifiedBy>Kim Loskota</cp:lastModifiedBy>
  <cp:lastPrinted>2019-09-19T20:45:55Z</cp:lastPrinted>
  <dcterms:created xsi:type="dcterms:W3CDTF">2006-07-10T00:33:25Z</dcterms:created>
  <dcterms:modified xsi:type="dcterms:W3CDTF">2019-10-22T12:50:10Z</dcterms:modified>
</cp:coreProperties>
</file>